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ROZPOČET AKTUÁLNÍ ROK 2025\Rozpočet MČ 2025\"/>
    </mc:Choice>
  </mc:AlternateContent>
  <bookViews>
    <workbookView xWindow="-120" yWindow="-120" windowWidth="29040" windowHeight="15990" tabRatio="599"/>
  </bookViews>
  <sheets>
    <sheet name="Návrh 2025 příjmy " sheetId="173" r:id="rId1"/>
    <sheet name="Návrh 2025 výdaje " sheetId="174" r:id="rId2"/>
  </sheets>
  <definedNames>
    <definedName name="_xlnm.Print_Titles" localSheetId="0">'Návrh 2025 příjmy '!$5:$6</definedName>
    <definedName name="_xlnm.Print_Titles" localSheetId="1">'Návrh 2025 výdaje '!$5:$6</definedName>
  </definedNames>
  <calcPr calcId="152511"/>
</workbook>
</file>

<file path=xl/calcChain.xml><?xml version="1.0" encoding="utf-8"?>
<calcChain xmlns="http://schemas.openxmlformats.org/spreadsheetml/2006/main">
  <c r="G357" i="174" l="1"/>
  <c r="G356" i="174"/>
  <c r="G45" i="173" l="1"/>
  <c r="G344" i="174" l="1"/>
  <c r="G136" i="174"/>
  <c r="G131" i="174"/>
  <c r="G343" i="174" l="1"/>
  <c r="G403" i="174" l="1"/>
  <c r="G239" i="174" l="1"/>
  <c r="G379" i="174" l="1"/>
  <c r="G377" i="174"/>
  <c r="G376" i="174"/>
  <c r="G369" i="174"/>
  <c r="D361" i="174"/>
  <c r="G349" i="174"/>
  <c r="G361" i="174" s="1"/>
  <c r="G324" i="174"/>
  <c r="D318" i="174"/>
  <c r="G303" i="174"/>
  <c r="G301" i="174"/>
  <c r="G318" i="174" s="1"/>
  <c r="G274" i="174"/>
  <c r="F274" i="174"/>
  <c r="E274" i="174"/>
  <c r="D274" i="174"/>
  <c r="G258" i="174"/>
  <c r="G41" i="173" s="1"/>
  <c r="G378" i="174" s="1"/>
  <c r="G210" i="174"/>
  <c r="H151" i="174"/>
  <c r="D84" i="174"/>
  <c r="G84" i="174"/>
  <c r="G63" i="174"/>
  <c r="G21" i="174"/>
  <c r="F34" i="174" l="1"/>
  <c r="H395" i="174" l="1"/>
  <c r="G395" i="174"/>
  <c r="G388" i="174"/>
  <c r="G391" i="174" s="1"/>
  <c r="G374" i="174"/>
  <c r="H374" i="174" s="1"/>
  <c r="G370" i="174"/>
  <c r="H370" i="174" s="1"/>
  <c r="G367" i="174"/>
  <c r="H367" i="174" s="1"/>
  <c r="G364" i="174"/>
  <c r="H364" i="174" s="1"/>
  <c r="H361" i="174"/>
  <c r="H322" i="174"/>
  <c r="H318" i="174"/>
  <c r="G299" i="174"/>
  <c r="H299" i="174" s="1"/>
  <c r="H274" i="174"/>
  <c r="G269" i="174"/>
  <c r="H269" i="174" s="1"/>
  <c r="G266" i="174"/>
  <c r="H266" i="174" s="1"/>
  <c r="G263" i="174"/>
  <c r="H263" i="174" s="1"/>
  <c r="H258" i="174"/>
  <c r="G243" i="174"/>
  <c r="H243" i="174" s="1"/>
  <c r="G236" i="174"/>
  <c r="H236" i="174" s="1"/>
  <c r="G233" i="174"/>
  <c r="H233" i="174" s="1"/>
  <c r="G226" i="174"/>
  <c r="H226" i="174" s="1"/>
  <c r="G217" i="174"/>
  <c r="H217" i="174" s="1"/>
  <c r="G214" i="174"/>
  <c r="H214" i="174" s="1"/>
  <c r="H210" i="174"/>
  <c r="G201" i="174"/>
  <c r="H201" i="174" s="1"/>
  <c r="G197" i="174"/>
  <c r="H197" i="174" s="1"/>
  <c r="G180" i="174"/>
  <c r="H180" i="174" s="1"/>
  <c r="G177" i="174"/>
  <c r="H177" i="174" s="1"/>
  <c r="G170" i="174"/>
  <c r="H170" i="174" s="1"/>
  <c r="G160" i="174"/>
  <c r="H160" i="174" s="1"/>
  <c r="G155" i="174"/>
  <c r="H155" i="174" s="1"/>
  <c r="G148" i="174"/>
  <c r="H148" i="174" s="1"/>
  <c r="G143" i="174"/>
  <c r="H143" i="174" s="1"/>
  <c r="G125" i="174"/>
  <c r="H125" i="174" s="1"/>
  <c r="G107" i="174"/>
  <c r="H107" i="174" s="1"/>
  <c r="H84" i="174"/>
  <c r="G70" i="174"/>
  <c r="H70" i="174" s="1"/>
  <c r="G64" i="174"/>
  <c r="H64" i="174" s="1"/>
  <c r="G58" i="174"/>
  <c r="H58" i="174" s="1"/>
  <c r="G55" i="174"/>
  <c r="H55" i="174" s="1"/>
  <c r="H36" i="173"/>
  <c r="G36" i="173"/>
  <c r="H388" i="174" l="1"/>
  <c r="H391" i="174" s="1"/>
  <c r="G390" i="174"/>
  <c r="H82" i="173"/>
  <c r="G82" i="173"/>
  <c r="H14" i="173"/>
  <c r="G71" i="173"/>
  <c r="G77" i="173"/>
  <c r="G76" i="173"/>
  <c r="G75" i="173"/>
  <c r="G74" i="173"/>
  <c r="G73" i="173"/>
  <c r="G66" i="173"/>
  <c r="G46" i="173"/>
  <c r="G32" i="173"/>
  <c r="G14" i="173"/>
  <c r="G68" i="173" l="1"/>
  <c r="G78" i="173"/>
  <c r="H78" i="173" s="1"/>
  <c r="H32" i="173"/>
  <c r="H390" i="174"/>
  <c r="H393" i="174" s="1"/>
  <c r="H397" i="174" s="1"/>
  <c r="G393" i="174"/>
  <c r="G397" i="174" s="1"/>
  <c r="G404" i="174" s="1"/>
  <c r="G402" i="174" s="1"/>
  <c r="H66" i="173"/>
  <c r="H68" i="173" s="1"/>
  <c r="F313" i="174"/>
  <c r="F318" i="174" s="1"/>
  <c r="G80" i="173" l="1"/>
  <c r="G84" i="173" s="1"/>
  <c r="G400" i="174" s="1"/>
  <c r="G406" i="174" s="1"/>
  <c r="G408" i="174" s="1"/>
  <c r="H80" i="173"/>
  <c r="H84" i="173" s="1"/>
  <c r="F251" i="174"/>
  <c r="F193" i="174"/>
  <c r="F165" i="174"/>
  <c r="F132" i="174"/>
  <c r="F113" i="174"/>
  <c r="F105" i="174"/>
  <c r="F93" i="174"/>
  <c r="E93" i="174"/>
  <c r="F92" i="174"/>
  <c r="F82" i="174" l="1"/>
  <c r="F77" i="174"/>
  <c r="F84" i="174" s="1"/>
  <c r="E77" i="174"/>
  <c r="F43" i="174"/>
  <c r="F42" i="174"/>
  <c r="F44" i="174"/>
  <c r="F41" i="174"/>
  <c r="F25" i="174"/>
  <c r="F26" i="174"/>
  <c r="F21" i="174"/>
  <c r="F19" i="174"/>
  <c r="F18" i="174"/>
  <c r="E283" i="174"/>
  <c r="E280" i="174"/>
  <c r="E277" i="174"/>
  <c r="E295" i="174"/>
  <c r="E276" i="174"/>
  <c r="E282" i="174"/>
  <c r="E246" i="174"/>
  <c r="E257" i="174"/>
  <c r="E256" i="174"/>
  <c r="E251" i="174"/>
  <c r="E253" i="174"/>
  <c r="E346" i="174"/>
  <c r="E352" i="174"/>
  <c r="E349" i="174"/>
  <c r="E311" i="174"/>
  <c r="E307" i="174"/>
  <c r="E306" i="174"/>
  <c r="E230" i="174"/>
  <c r="E231" i="174"/>
  <c r="E204" i="174"/>
  <c r="E207" i="174"/>
  <c r="E187" i="174"/>
  <c r="E195" i="174"/>
  <c r="E141" i="174"/>
  <c r="E131" i="174"/>
  <c r="E13" i="174"/>
  <c r="E17" i="174"/>
  <c r="E15" i="174"/>
  <c r="E318" i="174" l="1"/>
  <c r="F277" i="174"/>
  <c r="F374" i="174" l="1"/>
  <c r="D374" i="174"/>
  <c r="E372" i="174"/>
  <c r="E374" i="174" s="1"/>
  <c r="E51" i="173"/>
  <c r="F210" i="174" l="1"/>
  <c r="D210" i="174"/>
  <c r="E209" i="174"/>
  <c r="E208" i="174"/>
  <c r="F151" i="174"/>
  <c r="E151" i="174"/>
  <c r="D151" i="174"/>
  <c r="E23" i="173"/>
  <c r="E13" i="173"/>
  <c r="E210" i="174" l="1"/>
  <c r="F379" i="174" l="1"/>
  <c r="E379" i="174"/>
  <c r="D379" i="174"/>
  <c r="F378" i="174"/>
  <c r="E378" i="174"/>
  <c r="D378" i="174"/>
  <c r="F377" i="174"/>
  <c r="E377" i="174"/>
  <c r="D377" i="174"/>
  <c r="F376" i="174"/>
  <c r="E376" i="174"/>
  <c r="D376" i="174"/>
  <c r="F257" i="174"/>
  <c r="E201" i="174"/>
  <c r="D201" i="174"/>
  <c r="F201" i="174"/>
  <c r="F63" i="174"/>
  <c r="F20" i="174"/>
  <c r="F47" i="173"/>
  <c r="F76" i="173" s="1"/>
  <c r="F269" i="174"/>
  <c r="E269" i="174"/>
  <c r="D269" i="174"/>
  <c r="D395" i="174" l="1"/>
  <c r="F383" i="174"/>
  <c r="E383" i="174"/>
  <c r="E395" i="174" s="1"/>
  <c r="F370" i="174"/>
  <c r="E370" i="174"/>
  <c r="D370" i="174"/>
  <c r="F367" i="174"/>
  <c r="E367" i="174"/>
  <c r="D367" i="174"/>
  <c r="F364" i="174"/>
  <c r="E364" i="174"/>
  <c r="D364" i="174"/>
  <c r="E359" i="174"/>
  <c r="E361" i="174" s="1"/>
  <c r="F349" i="174"/>
  <c r="F361" i="174" s="1"/>
  <c r="F299" i="174"/>
  <c r="E292" i="174"/>
  <c r="D292" i="174"/>
  <c r="D299" i="174" s="1"/>
  <c r="F266" i="174"/>
  <c r="D266" i="174"/>
  <c r="E265" i="174"/>
  <c r="F263" i="174"/>
  <c r="E263" i="174"/>
  <c r="D263" i="174"/>
  <c r="E258" i="174"/>
  <c r="D258" i="174"/>
  <c r="F243" i="174"/>
  <c r="D243" i="174"/>
  <c r="E238" i="174"/>
  <c r="F236" i="174"/>
  <c r="E236" i="174"/>
  <c r="D236" i="174"/>
  <c r="F233" i="174"/>
  <c r="E233" i="174"/>
  <c r="D233" i="174"/>
  <c r="F226" i="174"/>
  <c r="E226" i="174"/>
  <c r="D226" i="174"/>
  <c r="F217" i="174"/>
  <c r="E217" i="174"/>
  <c r="D217" i="174"/>
  <c r="F214" i="174"/>
  <c r="D214" i="174"/>
  <c r="E212" i="174"/>
  <c r="E214" i="174" s="1"/>
  <c r="E197" i="174"/>
  <c r="D197" i="174"/>
  <c r="F197" i="174"/>
  <c r="F180" i="174"/>
  <c r="E180" i="174"/>
  <c r="D180" i="174"/>
  <c r="F177" i="174"/>
  <c r="D177" i="174"/>
  <c r="E176" i="174"/>
  <c r="E177" i="174" s="1"/>
  <c r="D170" i="174"/>
  <c r="F169" i="174"/>
  <c r="F170" i="174" s="1"/>
  <c r="E166" i="174"/>
  <c r="E170" i="174" s="1"/>
  <c r="E160" i="174"/>
  <c r="D160" i="174"/>
  <c r="F157" i="174"/>
  <c r="F160" i="174" s="1"/>
  <c r="F155" i="174"/>
  <c r="E155" i="174"/>
  <c r="D155" i="174"/>
  <c r="F148" i="174"/>
  <c r="E148" i="174"/>
  <c r="D148" i="174"/>
  <c r="D143" i="174"/>
  <c r="E138" i="174"/>
  <c r="E137" i="174"/>
  <c r="F134" i="174"/>
  <c r="E132" i="174"/>
  <c r="F125" i="174"/>
  <c r="D125" i="174"/>
  <c r="E123" i="174"/>
  <c r="E125" i="174" s="1"/>
  <c r="F107" i="174"/>
  <c r="E104" i="174"/>
  <c r="D104" i="174"/>
  <c r="E96" i="174"/>
  <c r="E83" i="174"/>
  <c r="E79" i="174"/>
  <c r="F70" i="174"/>
  <c r="E70" i="174"/>
  <c r="D70" i="174"/>
  <c r="F64" i="174"/>
  <c r="E64" i="174"/>
  <c r="D64" i="174"/>
  <c r="F58" i="174"/>
  <c r="E58" i="174"/>
  <c r="D58" i="174"/>
  <c r="D55" i="174"/>
  <c r="E43" i="174"/>
  <c r="F37" i="174"/>
  <c r="E33" i="174"/>
  <c r="F27" i="174"/>
  <c r="F24" i="174"/>
  <c r="F77" i="173"/>
  <c r="E77" i="173"/>
  <c r="E76" i="173"/>
  <c r="D76" i="173"/>
  <c r="D82" i="173" s="1"/>
  <c r="F75" i="173"/>
  <c r="E75" i="173"/>
  <c r="D75" i="173"/>
  <c r="F74" i="173"/>
  <c r="E74" i="173"/>
  <c r="D74" i="173"/>
  <c r="F73" i="173"/>
  <c r="E73" i="173"/>
  <c r="D73" i="173"/>
  <c r="F71" i="173"/>
  <c r="E71" i="173"/>
  <c r="D71" i="173"/>
  <c r="E66" i="173"/>
  <c r="D66" i="173"/>
  <c r="F32" i="173"/>
  <c r="D32" i="173"/>
  <c r="F27" i="173"/>
  <c r="E27" i="173"/>
  <c r="E32" i="173" s="1"/>
  <c r="F14" i="173"/>
  <c r="E14" i="173"/>
  <c r="D14" i="173"/>
  <c r="E84" i="174" l="1"/>
  <c r="F403" i="174"/>
  <c r="E55" i="174"/>
  <c r="E403" i="174"/>
  <c r="D107" i="174"/>
  <c r="D403" i="174"/>
  <c r="F143" i="174"/>
  <c r="D68" i="173"/>
  <c r="E82" i="173"/>
  <c r="E266" i="174"/>
  <c r="E388" i="174"/>
  <c r="F55" i="174"/>
  <c r="E299" i="174"/>
  <c r="E143" i="174"/>
  <c r="D78" i="173"/>
  <c r="D80" i="173"/>
  <c r="D84" i="173" s="1"/>
  <c r="D400" i="174" s="1"/>
  <c r="E78" i="173"/>
  <c r="D388" i="174"/>
  <c r="F258" i="174"/>
  <c r="E243" i="174"/>
  <c r="F388" i="174"/>
  <c r="F395" i="174"/>
  <c r="E107" i="174"/>
  <c r="E68" i="173"/>
  <c r="F82" i="173"/>
  <c r="F78" i="173"/>
  <c r="F66" i="173"/>
  <c r="D390" i="174" l="1"/>
  <c r="F390" i="174"/>
  <c r="E390" i="174"/>
  <c r="E80" i="173"/>
  <c r="E84" i="173" s="1"/>
  <c r="E400" i="174" s="1"/>
  <c r="D391" i="174"/>
  <c r="E391" i="174"/>
  <c r="F391" i="174"/>
  <c r="F68" i="173"/>
  <c r="D393" i="174" l="1"/>
  <c r="D397" i="174" s="1"/>
  <c r="D404" i="174" s="1"/>
  <c r="D402" i="174" s="1"/>
  <c r="E393" i="174"/>
  <c r="E397" i="174" s="1"/>
  <c r="E404" i="174" s="1"/>
  <c r="E406" i="174" s="1"/>
  <c r="E408" i="174" s="1"/>
  <c r="F393" i="174"/>
  <c r="F80" i="173"/>
  <c r="D406" i="174" l="1"/>
  <c r="D408" i="174" s="1"/>
  <c r="E402" i="174"/>
  <c r="F397" i="174"/>
  <c r="F84" i="173"/>
  <c r="F400" i="174" l="1"/>
  <c r="F404" i="174"/>
  <c r="F406" i="174" l="1"/>
  <c r="F408" i="174" s="1"/>
</calcChain>
</file>

<file path=xl/sharedStrings.xml><?xml version="1.0" encoding="utf-8"?>
<sst xmlns="http://schemas.openxmlformats.org/spreadsheetml/2006/main" count="461" uniqueCount="388">
  <si>
    <t>Paragraf</t>
  </si>
  <si>
    <t>Položka</t>
  </si>
  <si>
    <t>Název</t>
  </si>
  <si>
    <t>tis. Kč</t>
  </si>
  <si>
    <t>Nákup materiálu</t>
  </si>
  <si>
    <t>Nákup služeb</t>
  </si>
  <si>
    <t>Opravy a udržování</t>
  </si>
  <si>
    <t>Silnice</t>
  </si>
  <si>
    <t>Pitná voda</t>
  </si>
  <si>
    <t>Odvádění a čištění odpadních vod</t>
  </si>
  <si>
    <t>Voda</t>
  </si>
  <si>
    <t>Plyn</t>
  </si>
  <si>
    <t>Elektrická energie</t>
  </si>
  <si>
    <t>Pohoštění</t>
  </si>
  <si>
    <t>Platy zaměstnanců</t>
  </si>
  <si>
    <t>Činnosti knihovnické</t>
  </si>
  <si>
    <t>Záležitosti kultury</t>
  </si>
  <si>
    <t>Ostatní osobní výdaje</t>
  </si>
  <si>
    <t>Pohřebnictví</t>
  </si>
  <si>
    <t>Územní plánování</t>
  </si>
  <si>
    <t>Sběr a svoz komunálních odpadů</t>
  </si>
  <si>
    <t>Pohonné hmoty a maziva</t>
  </si>
  <si>
    <t>Cestovné</t>
  </si>
  <si>
    <t>Konzultační, poradenské a právní služby</t>
  </si>
  <si>
    <t>Činnost místní správy</t>
  </si>
  <si>
    <t>Péče o vzhled obcí a veřejnou zeleň</t>
  </si>
  <si>
    <t>Zastupitelstva obcí</t>
  </si>
  <si>
    <t>Převody vlastním fondům /konsolidace/</t>
  </si>
  <si>
    <t>Rozpočtové příjmy</t>
  </si>
  <si>
    <t xml:space="preserve">Název </t>
  </si>
  <si>
    <t>Příjmy z úroků</t>
  </si>
  <si>
    <t>Převody z rozpočtových účtů:</t>
  </si>
  <si>
    <t>Rozpočtové výdaje</t>
  </si>
  <si>
    <t>Povinné pojistné na zdravotní pojištění</t>
  </si>
  <si>
    <t>Výdaje kapitálové</t>
  </si>
  <si>
    <t>Drobný hmotný dlouhodobý  majetek</t>
  </si>
  <si>
    <t>Drobný hmotný dlouhodobý majetek</t>
  </si>
  <si>
    <t>Nákup ostatních služeb</t>
  </si>
  <si>
    <t>Nespecifikované rezervy</t>
  </si>
  <si>
    <t>Ostatní činnosti</t>
  </si>
  <si>
    <t>Veřejné osvětlení</t>
  </si>
  <si>
    <t>Dary obyvatelstvu</t>
  </si>
  <si>
    <t>Převody vlastním fondům-převody sociálnímu fondu obcí</t>
  </si>
  <si>
    <t>Ochranné pomůcky - vlastní zdroje</t>
  </si>
  <si>
    <t>Drobný hmotný dlouhodobý majetek - vlastní zdroje</t>
  </si>
  <si>
    <t>Nákup materiálu - vlastní zdroje</t>
  </si>
  <si>
    <t>Pohonné hmoty a maziva  - vlastní zdroje</t>
  </si>
  <si>
    <t xml:space="preserve">Komunální služby a územní rozvoj </t>
  </si>
  <si>
    <t>Pohonné hmoty</t>
  </si>
  <si>
    <t>Obecné příjmy a výdaje z finančních operací</t>
  </si>
  <si>
    <t xml:space="preserve">Sociální rehabilitace </t>
  </si>
  <si>
    <t>Ostatní služby a činnosti v oblasti soc. péče  /Klub seniorů/</t>
  </si>
  <si>
    <t>Bezpečnost a veřejný pořádek-Městská policie</t>
  </si>
  <si>
    <t>Využití volného času dětí a mládeže</t>
  </si>
  <si>
    <t>Sportovní zařízení v majetku obce - S.K. Slovan Kunratice</t>
  </si>
  <si>
    <t>Nákup materiálu- koše výměna, barvy, náhr. díly k mobiliáři..</t>
  </si>
  <si>
    <t>Služby školení a vzdělávání - vlastní zdroje</t>
  </si>
  <si>
    <t>Základní školy celkem vč. investic</t>
  </si>
  <si>
    <t>Převod do fondu Domu s chráněnými byty</t>
  </si>
  <si>
    <t>Převody vlastním fondům-převod do fondu Domu s chráněnými byty</t>
  </si>
  <si>
    <t>Ostatní neinvestiční transfery obyvatelstvu-dárkové poukázky jubilantům</t>
  </si>
  <si>
    <t>Poštovní služby</t>
  </si>
  <si>
    <t>Opravy a udržování-běžné</t>
  </si>
  <si>
    <t xml:space="preserve">Odměny členů zastupitelstev vč. členů výborů a komisí </t>
  </si>
  <si>
    <t>Městská část Praha KUNRATICE</t>
  </si>
  <si>
    <t>Mateřské školy</t>
  </si>
  <si>
    <t>Daňové příjmy:</t>
  </si>
  <si>
    <t>Daňové příjmy celkem</t>
  </si>
  <si>
    <t>Nedaňové příjmy:</t>
  </si>
  <si>
    <t>Nedaňové příjmy celkem</t>
  </si>
  <si>
    <t>Konsolidace příjmů:</t>
  </si>
  <si>
    <t>Přijaté transfery:</t>
  </si>
  <si>
    <t>Zpracování dat a služby související s informačními technologiemi</t>
  </si>
  <si>
    <t>Převody z vlastních  fondů a mezi HMP a MČ- konsolidace příjmů celkem</t>
  </si>
  <si>
    <t>PŘÍJMY CELKEM vč. převodů z vlastních fondů a mezi HMP a MČ -dotační vztah</t>
  </si>
  <si>
    <t>Přijaté transfery celkem</t>
  </si>
  <si>
    <t>PŘÍJMY po konsolidaci-bez převodů z vlastních fondů a mezi HMP a MČ)</t>
  </si>
  <si>
    <t>Ochrana půdy a podz. vod proti infiltraci (odlučovač parkoviště Šeberák)</t>
  </si>
  <si>
    <t>Opravy a udržování-opravy inventáře</t>
  </si>
  <si>
    <t>Převody vlastním rozpočtovým účtům:posílení ze soc.fondu</t>
  </si>
  <si>
    <t>Převody vlastním fondům a mezi HMP a MČ - konsolidace výdajů celkem (par. 6330)</t>
  </si>
  <si>
    <t>VÝDAJE po konsolidaci bez převodů vlastním fondům a mezi HMP a MČ</t>
  </si>
  <si>
    <t>VÝDAJE CELKEM vč. převodů vlastním fondům a mezi HMP a MČ</t>
  </si>
  <si>
    <t xml:space="preserve">Výdaje běžné </t>
  </si>
  <si>
    <t>OBJEM VÝDAJU celkem</t>
  </si>
  <si>
    <t>Zpracování dat a služby související s informačními technologiemi-servisní služby přenosu dat-systém svolávání a informování Fireport</t>
  </si>
  <si>
    <t>Odměny za užití duševního vlastnictví-poplatek OSA</t>
  </si>
  <si>
    <t xml:space="preserve">OBJEM PŘÍJMU vč. dotačního vztahu po konsolidaci vlastních fondů - ZDROJE celkem                                                </t>
  </si>
  <si>
    <t>Nákup ostatních služeb- drobné služby</t>
  </si>
  <si>
    <t>Požární ochrana dobrovolná část</t>
  </si>
  <si>
    <t>Platby daní a poplatků státnímu rozpočtu-dálniční známka</t>
  </si>
  <si>
    <t>OBJEM PŘÍJMU - ZDROJE celkem</t>
  </si>
  <si>
    <t>REKAPITULACE</t>
  </si>
  <si>
    <t>FINANCOVÁNÍ z úspor vlastních prostředků z předešlých let    (+) schodek, (-) přebytek</t>
  </si>
  <si>
    <t>Poskytnuté náhrady-roční poplatek Svazu MČ HMP</t>
  </si>
  <si>
    <t>ROZDÍL PŘÍJMU A VÝDAJU (-) schodek, (+) přebytek</t>
  </si>
  <si>
    <t>Plošné rekonstrukce komunikací Kunratice</t>
  </si>
  <si>
    <t xml:space="preserve">Dary obyvatelstvu </t>
  </si>
  <si>
    <t>Služby elektronických komunikací-telefonní poplatky</t>
  </si>
  <si>
    <t>Místní knihovna</t>
  </si>
  <si>
    <t xml:space="preserve">Nákup ostatních služeb: zimní údržba komunikací vč. úklidu po zimní údržbě, strojní čištění </t>
  </si>
  <si>
    <t xml:space="preserve"> Skutečnost Kč</t>
  </si>
  <si>
    <t>Převody z vlastních rezervních fondů-z fondu Domu s chráněnými byty</t>
  </si>
  <si>
    <t xml:space="preserve">Ostatní investiční výdaje silnice </t>
  </si>
  <si>
    <t>Nákup materiálu a doplňky k vybavení knihovny</t>
  </si>
  <si>
    <t>Nákup materiálu-spotřební materiál, náhradní díly, kusový nákup součástí dopravního značení (zrcadla, kužely, sloupky…)</t>
  </si>
  <si>
    <t>Neinvestiční transfery cizím příspěvkovým organizacím-zdravotnická zařízení</t>
  </si>
  <si>
    <t>Neinvestiční příspěvky zřízeným příspěvkovým organizacím: pravidelný roční příspěvek MČ</t>
  </si>
  <si>
    <t>Ostatní příjmy z pronájmu majetku-pronájem hrobů</t>
  </si>
  <si>
    <t>Nákup ostatních služeb-odvoz odpadu hřbitov</t>
  </si>
  <si>
    <t>Nákup ostatních služeb-údržba zeleně hřbitov</t>
  </si>
  <si>
    <t>Služby peněžních ústavů - pojištění majetku</t>
  </si>
  <si>
    <t>Nákup ostatních služeb: STK, projekty k opravám, výběrové řízení k opravám, autorský dozor k opravám a jiné dodávky prací (vyjádření k sítím, provizorní DZ k akcím,nové DZ,  posudky a ostatní podklady ke stavu komunikací, projednávání..):</t>
  </si>
  <si>
    <t>Opravy a udržování - opravy kanalizace</t>
  </si>
  <si>
    <t>Služby peněžních ústavů-bankovní poplatky</t>
  </si>
  <si>
    <t>Nákup materiálu-kronika, kulturní akce</t>
  </si>
  <si>
    <t>Nákup ostatních služeb - letní promítání filmů v Zámeckém parku</t>
  </si>
  <si>
    <t xml:space="preserve">Plyn </t>
  </si>
  <si>
    <t>Elektrická energie-spořeba el-en. uliční vánoční výzdoba MČ</t>
  </si>
  <si>
    <t>Nákup ostatních služeb - čištění kanalizace</t>
  </si>
  <si>
    <t>Krizová opatření</t>
  </si>
  <si>
    <t xml:space="preserve">Investiční převody mezi statutátními městy a jejich MČ-investiční dotace </t>
  </si>
  <si>
    <t>VÝDAJE z převodů HM Praze (par. 6330 pol. 5347+pol. 6363) odvody</t>
  </si>
  <si>
    <t>Ochranné pomůcky-respirátory</t>
  </si>
  <si>
    <t>Posílení rozpočtu soc. fondu-příjem sociálního fondu</t>
  </si>
  <si>
    <t>Převody z vlastních fondů-ze sociálního fondu</t>
  </si>
  <si>
    <t>PŘÍJMY z dotačního vztahu (pol. 4137 a 4251 par. 6330)</t>
  </si>
  <si>
    <t>Služby peněžních ústavů - pojištění hasičů strojníků</t>
  </si>
  <si>
    <t xml:space="preserve">Nákup ostatních služeb </t>
  </si>
  <si>
    <t>Údržba vodního díla -rybník Ohrada (Kontrola stavu objektu rybníka Ohrada a odtokové části, čištění, opravy poškození po přívalovém dešti)</t>
  </si>
  <si>
    <t>Ostatní sportovní činnost</t>
  </si>
  <si>
    <t>Ostatní činnost ve zdravotnictví</t>
  </si>
  <si>
    <t>Dary obyvatelstvu-kulturní pěvecké vystoupení</t>
  </si>
  <si>
    <t>Nespecifikované rezervy vlastní zdroje</t>
  </si>
  <si>
    <t>Povinné pojistné na sociální zabezpečení a politiku zaměstnanosti</t>
  </si>
  <si>
    <t xml:space="preserve">Domovy se zvláštním režimem - Dům s chráněnými byty </t>
  </si>
  <si>
    <t>Převody z vlastních rezervních fondů-z fondu Domu s chráněnými byty na provoz a akce DCHB</t>
  </si>
  <si>
    <t>Ing. Lenka Alinčová, starostka MČ Praha Kunratice</t>
  </si>
  <si>
    <t xml:space="preserve">Neinvestiční transfery spolkům  </t>
  </si>
  <si>
    <t>Výstavba tělocvičny ZŠ Kunratice:</t>
  </si>
  <si>
    <t>Nákup ostatních služeb:</t>
  </si>
  <si>
    <t>akce pro obyvatele a drobné služby</t>
  </si>
  <si>
    <t>Příjem z poplatků ze psů</t>
  </si>
  <si>
    <t xml:space="preserve">Příjem z poplatků z pobytu </t>
  </si>
  <si>
    <t xml:space="preserve">Příjem z poplatku za užívání veřejného prostranství  </t>
  </si>
  <si>
    <t>Příjem z poplatku ze vstupného</t>
  </si>
  <si>
    <t xml:space="preserve">Příjem ze správních poplatků </t>
  </si>
  <si>
    <t>Příjem z daně z nemovitých věcí</t>
  </si>
  <si>
    <t>Příjmy z poskytování služeb a výrobků, prací, výkonů a práv - knihovna</t>
  </si>
  <si>
    <t>Příjmy z poskytování služeb a výrobků, prací, výkonů a práv -pohřebnictví</t>
  </si>
  <si>
    <t>Příjmy z poskytování služeb a výrobků, prací, výkonů a práv - místní správa-úhrada za poskytování informací dle zákona 106/1999 Sb.</t>
  </si>
  <si>
    <t>Příjem sankčních plateb přijatých od jiných osob - smluvní pokuty a pokuty z přestupků</t>
  </si>
  <si>
    <t>Přijaté neinvestiční příspěvky a náhrady- přeplatky záloh, vypořádání záloh (Česká pošta aj.), náklady v přestupkovém řízení</t>
  </si>
  <si>
    <t>Ostatní převody z vlastních fondů-ze sociálního fondu</t>
  </si>
  <si>
    <r>
      <t>Neinvestiční převody mezi statutátními městy a jejich městskými obvody nebo částmi - transfer z HMP -</t>
    </r>
    <r>
      <rPr>
        <b/>
        <sz val="12"/>
        <rFont val="Arial CE"/>
        <charset val="238"/>
      </rPr>
      <t>souhrnný dotační vztah</t>
    </r>
  </si>
  <si>
    <r>
      <t>Neinvestiční převody mezi statutátními městy a jejich městskými obvody nebo částmi - transfer ze státního rozpočtu -</t>
    </r>
    <r>
      <rPr>
        <b/>
        <sz val="12"/>
        <rFont val="Arial CE"/>
        <charset val="238"/>
      </rPr>
      <t>souhrnný dotační vztah</t>
    </r>
  </si>
  <si>
    <t>Podíl na prostředcích obdržených jako výnos z daně z hazardních her a jako odvod z loterií</t>
  </si>
  <si>
    <r>
      <t xml:space="preserve">Investiční převody mezi statutátními městy a jejich městskými obvody nebo částmi - </t>
    </r>
    <r>
      <rPr>
        <b/>
        <sz val="12"/>
        <rFont val="Arial CE"/>
        <charset val="238"/>
      </rPr>
      <t>investiční dotace HMP:</t>
    </r>
  </si>
  <si>
    <t>Neinvestiční převody mezi statutátními městy a jejich MČ-transfer ze SR a HMP souhrnný dotační vztah a přijaté neinvestiční dotace</t>
  </si>
  <si>
    <t>Stavby</t>
  </si>
  <si>
    <t>Stavby-ostatní stavby-přístřešky-oplocení míst na popelnice</t>
  </si>
  <si>
    <t>Prádlo, oděv a obuv s výjimkou ochranných pomůcek</t>
  </si>
  <si>
    <t>Elektrická energie - Napájení veřejného osvětlení v majetku MČ dle smlouvy s THMP do doby převodu na HMP</t>
  </si>
  <si>
    <t xml:space="preserve">Nákup ostatních služeb - akce Divadlo v parku </t>
  </si>
  <si>
    <t>Výdaje na věcné dary-jubileum občana</t>
  </si>
  <si>
    <t>Výdaje na věcné dary (dárky ke Dni učitelů)</t>
  </si>
  <si>
    <t>Ostatní činnosti související se službami pro fyzické osoby</t>
  </si>
  <si>
    <t xml:space="preserve">Neinvestiční transfery spolkům -Rehabilitace Hornomlýnská </t>
  </si>
  <si>
    <t>Neinvestiční transfery spolkům:</t>
  </si>
  <si>
    <t>Neinvestiční transfery spolkům - PC klub pro hendikepované Křižovatka, z.s.</t>
  </si>
  <si>
    <t>Výdaje na věcné dary-květiny apod. účinkujícím při kulturních pořadech</t>
  </si>
  <si>
    <t>Knihy a obdobné listinné informační prostředky</t>
  </si>
  <si>
    <t>Knihy a obdobné listinné informační prostředky - vlastní zdroje</t>
  </si>
  <si>
    <t xml:space="preserve">                                                                                 - dotace HMP</t>
  </si>
  <si>
    <t>Pojistné na zákonné pojištění odpovědnosti zaměstnavatele za škodu při pracovním úrazu nebo nemoci z povolání</t>
  </si>
  <si>
    <t xml:space="preserve">Opravy a udržování - opravy radnice, ostatní běžné  </t>
  </si>
  <si>
    <t>Podlimitní programové vybavení</t>
  </si>
  <si>
    <t>Ostatní neinvestiční transfery fyzickým osobám-sociální fond</t>
  </si>
  <si>
    <t>Ostatní neinvestiční transfery fyzickým osobám</t>
  </si>
  <si>
    <t xml:space="preserve">Neinvestiční transfery spolkům -STP MO Flora </t>
  </si>
  <si>
    <t>Léky a zdravotnický materiál - vybavení lékárniček</t>
  </si>
  <si>
    <t>Humanitární zahraniční pomoc přímá-pomoc Ukrajině</t>
  </si>
  <si>
    <t>Dary fyzickým osobám - výstavy, kulturní akce</t>
  </si>
  <si>
    <t>Nákup ostatních služeb-KZ, kulturní akce (Vítání jara…)</t>
  </si>
  <si>
    <t xml:space="preserve">                                              posílení z fondu DCHB-provoz DCHB</t>
  </si>
  <si>
    <t xml:space="preserve">Ostatní neinvestiční transfery neziskovým apod. osobám - SK Slovan Kunratice </t>
  </si>
  <si>
    <t>Údržba zeleně v obci,výsadba stromů, údržba revitalizovaného území Zelené cesty</t>
  </si>
  <si>
    <t>Prádlo, oděv, obuv s výjimkou ochranných pomůcek</t>
  </si>
  <si>
    <t>Dary fyzickým osobám</t>
  </si>
  <si>
    <t>Pojištění funkčně nespecifikované</t>
  </si>
  <si>
    <t>Převody z vlastních fondů podnikatelské činnosti-převod do fondu Domu s chráněnými byty</t>
  </si>
  <si>
    <r>
      <t xml:space="preserve">Neinvestiční převody mezi statutátními městy a jejich MČ - </t>
    </r>
    <r>
      <rPr>
        <b/>
        <sz val="12"/>
        <rFont val="Arial CE"/>
        <charset val="238"/>
      </rPr>
      <t>neinvestiční dotace:</t>
    </r>
  </si>
  <si>
    <t>Převody z vlastních fondů podnikatelské činnosti-část nerozděleného zisku VHČ - posílení rozpočtu</t>
  </si>
  <si>
    <t>Posílení rozpočtu sociálního fondu-příjem sociálního fondu</t>
  </si>
  <si>
    <t>Nájemné (kupř. umístění výstražného zařízení na sloupech veř. osvětlení, nájem dopravního značení a j.)</t>
  </si>
  <si>
    <t>Výdaje na věcné dary (dárky účastníkům akcí, květiny, nákup mincí pro vítání občánků)</t>
  </si>
  <si>
    <t xml:space="preserve">Nákup materiálu  (podlahová krytina,ostatní drobný...) </t>
  </si>
  <si>
    <t xml:space="preserve">ostatní opravy-techniky, výměna a opravy svislého dopravního značení a příslušenství, obnova vodorovného dopravního značení  </t>
  </si>
  <si>
    <t>Nákup ostatních služeb-revize hřišť, informační tabule aj.</t>
  </si>
  <si>
    <t xml:space="preserve">Opravy a udržování - úprava chodníčků, oprava hřbitovní zdi a ostatní drobné opravy </t>
  </si>
  <si>
    <t>Sociální pomoc osobám v hmotné nouzi</t>
  </si>
  <si>
    <t xml:space="preserve">Služby školení a vzdělávání </t>
  </si>
  <si>
    <t xml:space="preserve">Platby daní krajům, obcím a st. fondům-správní poplatky-např. stavebnímu úřadu, katastrálnímu úřadu ověřování.. </t>
  </si>
  <si>
    <t>Stavby-PD zateplení budovy HZ, umístění FVE na střechu budovy</t>
  </si>
  <si>
    <t>Příjmy z poskytování služeb a výrobků, prací, výkonů a práv - kultura</t>
  </si>
  <si>
    <t>Ponechané prostředky dotace HMP z roku 2021 a 2022</t>
  </si>
  <si>
    <t>Drobný hmotný dlouhodobý majetek-mobiliář hřiště, veř. prostranství</t>
  </si>
  <si>
    <t>Neinvestiční transfery fundacím, ústavům a obecně prospěšným společnostem - (r. 2022 Tři, zdravotní ústav- příspěvek na provoz Hospice Dobrého Pastýře)</t>
  </si>
  <si>
    <t>Neinvestiční transfery fundacím, ústavům a obecně prospěšným společnostem - Národní ústav pro autismus</t>
  </si>
  <si>
    <t xml:space="preserve">Drobný hmotný dlouhodobý majetek - dotace HMP </t>
  </si>
  <si>
    <t xml:space="preserve">Nákup materiálu - dotace HMP </t>
  </si>
  <si>
    <t>Rekonstrukce Mateřské školy Kunratice</t>
  </si>
  <si>
    <t>III. etapa Rekonstrukce dalších ulic - vlastní zdroje</t>
  </si>
  <si>
    <t>III. etapa Rekonstrukce dalších ulic - ponechaná dotace HMP</t>
  </si>
  <si>
    <t>Nespecifikované rezervy-Pomoc pražským domácnostem ohroženým inflací - vlastní zdroje</t>
  </si>
  <si>
    <t>Pomoc pražským domácnostem ohroženým inflací -realizace opatření pro pražské domácnosti-schválené stravné, školné, fond solidarity -ponechaná dotace HMP</t>
  </si>
  <si>
    <t>Pomoc pražským domácnostem ohroženým inflací -realizace opatření pro pražské domácnosti-schválené stravné, školné, fond solidarity - ponechaná dotace HMP</t>
  </si>
  <si>
    <t>Neinvestiční transfery spolkům  - Kunratice žijou, z.s.</t>
  </si>
  <si>
    <t>Posílení mzdových prostředků zaměstnanců škol a školských zařízení vč. podpory pracovníků ve stravování ve školství</t>
  </si>
  <si>
    <t>Posílení mzdových prostředků zaměstnanců škol a školských zařízení vč. podpory pracovníků ve stravování -dotace HMP</t>
  </si>
  <si>
    <t>Neinvestiční náhrada Ministerstva pro místní rozvoj za vynaložené náklady na pohřbení zemřelého, jehož pohřbení zajistila městská část</t>
  </si>
  <si>
    <t>Neinvestiční transfery neziskovým apod. organizacím-SH ČMS SDH Praha Kunratice</t>
  </si>
  <si>
    <t>Neinvestiční dotace HMP na projekt Otevírání hřišť pro veřejnost</t>
  </si>
  <si>
    <t>Příjem 100% podílu MČ na celkové daňové povinnosti HMP na dani z příjmu práv. osob za rok 2022</t>
  </si>
  <si>
    <t>Doplatek odvodu z místních poplatků</t>
  </si>
  <si>
    <t>Ostatní přijaté vratky transferů-vratky dotací k finančnímu vypořádání:</t>
  </si>
  <si>
    <t xml:space="preserve">Nákup ostatních služeb - Babí léto </t>
  </si>
  <si>
    <t>Platby daní státnímu rozpočtu-návrhy na vklad do katastru nemovitostí, event. soudní poplatky</t>
  </si>
  <si>
    <t>Neinvestiční dotace HMP na činnost jednotek Sboru dobr. hasičů</t>
  </si>
  <si>
    <t>Opravy a udržování  -dotace HMP-oprava techniky</t>
  </si>
  <si>
    <t xml:space="preserve">Drobný hmotný dlouhodobý majetek-sekačka, křovinořez </t>
  </si>
  <si>
    <t>terénní úpravy - revitalizace zahrady DCHB-dokumentace a sadové úpravy, výsadba zeleně-záhon při vchodu do DCHB</t>
  </si>
  <si>
    <t>Stavby-nová dešťová kanalizace ul. Lisztova</t>
  </si>
  <si>
    <t>Kapitálové příjmy celkem</t>
  </si>
  <si>
    <t>Převody vlastním fondům, převody z rozpočtových účtů:</t>
  </si>
  <si>
    <t xml:space="preserve">ostatní opravy komunikací </t>
  </si>
  <si>
    <t>III. etapa Rekonstrukce dalších ulic - vlastní zdroje "umělecké ulice"</t>
  </si>
  <si>
    <t>Pohonné hmoty -sekačka</t>
  </si>
  <si>
    <t xml:space="preserve">Opravy a udržování: opravy výtluků </t>
  </si>
  <si>
    <t xml:space="preserve">údržba dlažby chodníků, obruby </t>
  </si>
  <si>
    <t>Stavby:</t>
  </si>
  <si>
    <t>Revitalizace říčních systémů a vodních ploch - rybník Ohrada</t>
  </si>
  <si>
    <t>Mateřská škola</t>
  </si>
  <si>
    <t>Základní škola</t>
  </si>
  <si>
    <t>Neinvestiční příspěvky zřízeným příspěvkovým organizacím, příspěvek MČ</t>
  </si>
  <si>
    <t xml:space="preserve">Stavby </t>
  </si>
  <si>
    <t>Opravy a udržování - zámecká zeď a zámecký park (2023 revitalizace amfiteátru v Zámeckém parku)</t>
  </si>
  <si>
    <t>Stavby- rekonstrukce studny v parku</t>
  </si>
  <si>
    <t xml:space="preserve">Konzultační, poradenské a právní služby pro MČ </t>
  </si>
  <si>
    <t>Opravy a udržování - zázemí Zámeckého parku Golčova 28</t>
  </si>
  <si>
    <t>Opravy a udržování - oprava střešní krytiny objektu čp. 8 K Libuši</t>
  </si>
  <si>
    <t xml:space="preserve">Nespecifikované rezervy-rezerva na úpravy dřevěného objektu a okolní plochy za radnicí při ul. Ještědská </t>
  </si>
  <si>
    <t>Zachování a obnova kulturních památek-Zámecká zeď a park</t>
  </si>
  <si>
    <t xml:space="preserve">Nespecifikované rezervy - rezerva pro ev. službu tísňového volání </t>
  </si>
  <si>
    <t xml:space="preserve">Nákup ostatních služeb - vlastní zdroje - ostraha, lékař. prohlídky,  STK+emise </t>
  </si>
  <si>
    <t>Ostatní neinvestiční transfery jiným veř. rozpočtům (PČR)</t>
  </si>
  <si>
    <t>Stavby - 2024 Výměna oken objektu domu s chráněnými byty-druhá část</t>
  </si>
  <si>
    <t xml:space="preserve">Ostatní neinvestiční transfery obyvatelstvu-zájezdy pro seniory a podpora plavání </t>
  </si>
  <si>
    <t>RS 2024</t>
  </si>
  <si>
    <t>RU 2024</t>
  </si>
  <si>
    <t xml:space="preserve">Příjem z pojistných plnění </t>
  </si>
  <si>
    <t>ZŠ vratka dotace Zkvalitnění výuky tělesné výchovy</t>
  </si>
  <si>
    <t>ZŠ vratka dotace OP PPR od Základní školy-podíl EU a HMP (2xDem. kultura á 116,80)</t>
  </si>
  <si>
    <t>Finanční příspěvek fy CEMEX.cz na účely rozvoje a úpravy zeleně v obci</t>
  </si>
  <si>
    <t>vratka od Jihoměstská sociální, a.s.- za nevyčerpané příspěvky na plavání seniorů v r. 2023</t>
  </si>
  <si>
    <t>Neinvestiční dotace HMP na projekt ZŠ Otevírání hřišť pro veřejnost</t>
  </si>
  <si>
    <t>Neinvestiční dotace HMP na projekt MŠ Prevence soc. vyloučení</t>
  </si>
  <si>
    <t xml:space="preserve">Dotace MF na úhradu výdajů na volby do EP </t>
  </si>
  <si>
    <t>Regenerace dřevin na hřbitově v Praze Kunraticích</t>
  </si>
  <si>
    <t>OBJEM VÝDAJU vč. převodů mezi HMP a MČ a odvody fin. vypořádání</t>
  </si>
  <si>
    <t>Rekonstrukce mateřské školy Kunratice-investiční  dotace HMP roku 2024</t>
  </si>
  <si>
    <t>Rekonstrukce zpomalovacích pruhů ..K Verneráku (SOD 24 09..DAP 3 002,2tis)</t>
  </si>
  <si>
    <t>PRK V. oblast U zámeckého parku (SOD 24 15..1 868,24 tis.)</t>
  </si>
  <si>
    <t xml:space="preserve">Nákup ostatních služeb, objekt Golčova 24, drobné služby, revize, služby spojené s opravami objektu, stěhování nábytku </t>
  </si>
  <si>
    <t>Neinvestiční transfery fundacím, ústavům a obecně prospěšným společnostem  Polovina nebe, o.p.s.</t>
  </si>
  <si>
    <t>Stroje, přístroje, zařízení-pořízení plynové pánve do školní jídelny základní školy</t>
  </si>
  <si>
    <t>Volby do Evropského parlamentu</t>
  </si>
  <si>
    <t>Nájemné</t>
  </si>
  <si>
    <t xml:space="preserve">Platby daní krajům, obcím a st. fondům-daň z příjmu 2023 z hlavní činnosti </t>
  </si>
  <si>
    <t>Vratka dotace OP PPR od Základní školy-podíl EU a HMP (2x Rozvoj dem. kultury II á 116,8 tis.)</t>
  </si>
  <si>
    <t>Ochranné pomůcky-dotace HMP-zásahové obleky a příslušenství-základní příspěvek</t>
  </si>
  <si>
    <t>Ochranné pomůcky-dotace HMP-zásahové oděvy a příslušenství-účelové určení</t>
  </si>
  <si>
    <t>Neinvestiční transfery spolkům-Babybox, z.s.</t>
  </si>
  <si>
    <t>Ostatní neinvestiční transfery fyzickým osobám-konsolidace sociální fond</t>
  </si>
  <si>
    <t>akce Chodníkový program Kunratice 2019 -vlastní zdroje-Nový chodník v ul. U Rakovky a nový přechod v ul. Vídeňská</t>
  </si>
  <si>
    <t>akce Chodníkový program Kunratice 2019 -zbývající část daru z roku 2023-Nový chodník v ul. U Rakovky a nový přechod v ul. Vídeňská</t>
  </si>
  <si>
    <t xml:space="preserve">Neinvestiční převody mezi statutátními městy a jejich městskými obvody nebo částmi-výdaje - finanční vypořádání za rok 2023 se státním rozpočtem a rozpočtem HMP: </t>
  </si>
  <si>
    <t xml:space="preserve">Odvod  dotace na volby prezidenta v roce 2023 </t>
  </si>
  <si>
    <t>Vratka dotace Opatření v souvislosti s šířením koronaviru</t>
  </si>
  <si>
    <t>Vratka dotace Mimořádné výdaje v souvislosti s pomocí Ukrajině</t>
  </si>
  <si>
    <t>Vratka dotace Cyklotrasa Šeberov -Kunratický les</t>
  </si>
  <si>
    <t>Platby daní státnímu rozpočtu-soudní poplatek zámek</t>
  </si>
  <si>
    <t>Volby do zastupitelstev úz. sam. celků a do Senátu PČR</t>
  </si>
  <si>
    <r>
      <t>Nákup ostatních služeb: Pořízení služeb k úklidu a drobné údržbě komunikací a přilehlých veřejných prostranství, odstraňování grafitti a následků vandalismu na majetku MČ a mobiliáři, šintování komunikací, podpora projektu Ukliďme Česko (</t>
    </r>
    <r>
      <rPr>
        <sz val="12"/>
        <color rgb="FF0070C0"/>
        <rFont val="Arial CE"/>
        <charset val="238"/>
      </rPr>
      <t>strojní čištění komunikací, šintování aj.-komunikace 17464 m, chodníky 16718 m, strojové mytí chodníků, kropení, ruční šintování plevele, ruční dometení vozovek a chodníků, odvoz odpadu po strojním čištění, úklid atobusových zastávek, parkovišť 
341 487,92 Kč)</t>
    </r>
  </si>
  <si>
    <t>Neinvestiční transfery cizím přísp. organizacím (Dům dětí a mládeže-pěvecká soutěž dětí)</t>
  </si>
  <si>
    <t xml:space="preserve">Ostatní neinv. transfery neziskovým apod. osobám (TJ Sokol Kunratice) </t>
  </si>
  <si>
    <t>Neinvestiční transfery cizm příspěvkovým organizacím (Dům dětí a mládeže - sportovní kroužky)</t>
  </si>
  <si>
    <t>Ostatní neinv. transfery neziskovým apod. osobám (Junák)</t>
  </si>
  <si>
    <t>Opravy a udržování-opravy polyfunkčních hřišť (opravy betonových ploch stolní tenis, opravy branek, sítí, herních prvků)</t>
  </si>
  <si>
    <t>Nákup ostatních služeb - náhrada od MMR nákladů na sociální pohřby</t>
  </si>
  <si>
    <t>Elektrická energie Golčova 28 a některé akce v Zámeckém parku</t>
  </si>
  <si>
    <t>Neinvestiční transfery fundacím, ústavům a obecně prospěšným společnostem (Žít spolu)</t>
  </si>
  <si>
    <t>revize, mytí oken, střihání živých plotů, seč trávy, ostatní služby</t>
  </si>
  <si>
    <t>Drobný hmotný dlouhodobý majetek (pořízení parkovacích sloupků)</t>
  </si>
  <si>
    <t>Opravy a udržování-běžné opravy (oprava světel nouzového osvětlení osvětlení spol. prostor, oprava omítky, oprava zvonků, odvodnění balkonu)</t>
  </si>
  <si>
    <t>Nespecif. rezervy-zrušená položka 5424</t>
  </si>
  <si>
    <t>Ostatní neinvestiční výdaje jinde nezařazené</t>
  </si>
  <si>
    <t>Nespecifikované rezervy pomoc Ukrajině</t>
  </si>
  <si>
    <t xml:space="preserve">Výstavba tělocvičny ZŠ Kunratice </t>
  </si>
  <si>
    <t>Posílení mzdových prostředků zaměstnanců škol a školských zařízení</t>
  </si>
  <si>
    <t>Investiční dotace HMP 2024</t>
  </si>
  <si>
    <t>Rekonstrukce Kostelního náměstí (SOD 24 10..DIPRO PRK III 1 936,0 tis., obj. 134/2024 urban. studie Kostel. nám. 205,7tis.)</t>
  </si>
  <si>
    <t>Rekonstrukce Ratajova, Odboje, SOD 24 12..PRK III 7 882,08tis.)</t>
  </si>
  <si>
    <t>Stavby - sanace objektu Golčova 24</t>
  </si>
  <si>
    <t>IV. etapa - cyklotrasa A 213 pořízení projektové dokumentace-vlastní zdroje (SOD 20 016 3 00)</t>
  </si>
  <si>
    <t>Rekonstrukce ul. K Betáni (obj. 77/2024 DVZ)</t>
  </si>
  <si>
    <t>Ponechaná dotace roku 2023 Unicef (vyčerpána ZŠ)</t>
  </si>
  <si>
    <t>Ostatní neinvestiční transfery nezisk. organizacím-Dar povodně</t>
  </si>
  <si>
    <t>Ostatní záležitosti civilní připravenosti na krizové stavy-povodně 2024</t>
  </si>
  <si>
    <t>Výdaje na věcné dary - knihy pro prvňáčky, dárky ke Dni učitelů</t>
  </si>
  <si>
    <t xml:space="preserve">Opravy a udržování  - vlastní zdroje - běžné opravy-výměna pneu, oprava plošiny,  oprava Renault   </t>
  </si>
  <si>
    <t>Pohoštění-pohotovost povodně</t>
  </si>
  <si>
    <t xml:space="preserve">Neinvestiční transfery spolkům (Český svaz chovatelů 10,0tis., Kynologové 20,0 tis.) </t>
  </si>
  <si>
    <t>Neinvestiční transfery církvím a náb. organizacím - ŘK farnost Kunratice</t>
  </si>
  <si>
    <t>činnost registrovaných církví - ŘK farnost Kunratice při kostele sv. Jakuba Staršího</t>
  </si>
  <si>
    <t xml:space="preserve">Nákup ostatních služeb - dotace HMP-STK+emise  </t>
  </si>
  <si>
    <t xml:space="preserve">Neinvestiční část - provozní výdaje celkem rozpočet 896,0 tis. Kč vlastní zdroje, dotace HMP 354,5 tis. Kč </t>
  </si>
  <si>
    <t xml:space="preserve">Drobný hmotný dlouhodobý majetek - dotace Min. vnitra GŘ HZS </t>
  </si>
  <si>
    <t>Neinvestiční dotace Min. vnitra GŘ HZS na činnost jednotek Sboru dobr. hasičů</t>
  </si>
  <si>
    <t>12/2024</t>
  </si>
  <si>
    <t>Drobný hmotný dlouhodobý majetek (..stojany na kola, nástroje, rok 2024 nádoby na posyp. materiál))</t>
  </si>
  <si>
    <t>Nákup ostatních služeb - běžné služby</t>
  </si>
  <si>
    <t xml:space="preserve">Vratka části dotace dešťové vody </t>
  </si>
  <si>
    <t>NÁVRH ROZPOČTU 2025 a Plnění příjmů a čerpání výdajů rozpočtu 2024</t>
  </si>
  <si>
    <t>Přijaté dary na pořízení dlouhodobého majetku-finanční příspěvek v souladu s návrhem "Metodiky spolupodílů investorů do území"</t>
  </si>
  <si>
    <t>2024 Nákup ostatních služeb celkem rozpočet 2 350,0 tis. Kč, skutečnost                 1 102 812,26 Kč</t>
  </si>
  <si>
    <t>2024 Opravy a udržování celkem rozpočet 1 100,0 tis. Kč, skutečnost 823 977,17 Kč</t>
  </si>
  <si>
    <t>2025 Opravy a udržování celkem rozpočet 1 100,0 tis. Kč</t>
  </si>
  <si>
    <t>Akce započaté v roce 2024:</t>
  </si>
  <si>
    <t>2025 Nákup ostatních služeb celkem rozpočet 2 550,0 tis. Kč</t>
  </si>
  <si>
    <r>
      <t>2024 Celkem investice Silnice  rozpočet</t>
    </r>
    <r>
      <rPr>
        <b/>
        <sz val="12"/>
        <rFont val="Arial CE"/>
        <charset val="238"/>
      </rPr>
      <t xml:space="preserve"> 30 916,1 tis.,</t>
    </r>
    <r>
      <rPr>
        <sz val="12"/>
        <rFont val="Arial CE"/>
        <charset val="238"/>
      </rPr>
      <t xml:space="preserve"> skutečnost </t>
    </r>
    <r>
      <rPr>
        <b/>
        <sz val="12"/>
        <rFont val="Arial CE"/>
        <charset val="238"/>
      </rPr>
      <t>19 261 650,20 Kč</t>
    </r>
  </si>
  <si>
    <t>Nové akce v roce 2025:</t>
  </si>
  <si>
    <t>Rekonstrukce ulic Klínovecká, Kriváňská</t>
  </si>
  <si>
    <t>PD rekonstrukce ulic oblast Mašatova</t>
  </si>
  <si>
    <t>Rekonstrukce chodníku Hornomlýnská-Kunratický les</t>
  </si>
  <si>
    <t>PD rekonstrukce mostu v ulici Úhlavská</t>
  </si>
  <si>
    <t>Rekonstrukce ulice V Jahodách</t>
  </si>
  <si>
    <t>Investiční rezerva</t>
  </si>
  <si>
    <t>Přijaté dary na pořízení dlouhodobého majetku-finanční příspěvek na veřejně prospěšné účely, zejména na vzdělávání, na podporu a ochranu mládeže, sport</t>
  </si>
  <si>
    <t xml:space="preserve">Rekonstrukce mateřské školy Kunratice- zateplení budovy, doplnění PD a realizace- vlastní zdroje (použity budou i zdroje z příspěvku na investice do školství) </t>
  </si>
  <si>
    <t>Vlastní zdroje - do doby schválení převodu dotace HMP z předešlých let</t>
  </si>
  <si>
    <t xml:space="preserve">Rekonstrukce mateřské školy Kunratice-výměna oken, zateplení budovy (SOD 24 013 3 00) - ponechaná dotace HMP roku 2023, rok 2025 vlastní zdroje a žádost o ponechání </t>
  </si>
  <si>
    <t xml:space="preserve">Opravy a udržování- 2024 oprava zdi    </t>
  </si>
  <si>
    <t xml:space="preserve">Příjmy z prodeje zboží-kultura-knihy o Kunraticích </t>
  </si>
  <si>
    <t>Rekonstrukce chodníků podél rybníku Ohrada</t>
  </si>
  <si>
    <t>Stavby-PD a realizace sportoviště pumptrack</t>
  </si>
  <si>
    <t xml:space="preserve">Nákup materiálu </t>
  </si>
  <si>
    <t xml:space="preserve">Stavby - prodloužení mlatových cest, nové oplocení urnového háje, rozšíření hřbitova </t>
  </si>
  <si>
    <t>Konzultační, poradenské a právní služby - Studie systému sídelní zeleně</t>
  </si>
  <si>
    <t xml:space="preserve">Nákup ostatních služeb-drobné služby </t>
  </si>
  <si>
    <t>Regenerace dřevin na hřbitově v Praze Kunraticích-vlastní zdroje, žádost o ponechání dotace HMP</t>
  </si>
  <si>
    <t>Opravy a udržování objekt čp. 34 Golčova MP</t>
  </si>
  <si>
    <t>Obnova vozového parku</t>
  </si>
  <si>
    <t>Nájemné-kopírka, tiskárna Minolta</t>
  </si>
  <si>
    <t>Poskytnuté náhrady- svědecká výpověď přestupky, náhrada výdajů útulku pro zvířata..</t>
  </si>
  <si>
    <t>Ostatní nákupy jinde nezařazené-členský příspěvek Sdružení tajemníků MOÚ, z.s.</t>
  </si>
  <si>
    <t>Ostatní nákupy jinde nezařazené- členský příspěvek Svazu MČ HMP</t>
  </si>
  <si>
    <t>Stavby- sanace kotelny radnice, hydroizolace</t>
  </si>
  <si>
    <t xml:space="preserve">Budovy, haly, stavby-Areál fotbalového stadionu SK Slovan Kunratice </t>
  </si>
  <si>
    <t>Nákup ostatních služeb: Doprovodné úpravy značení na místních komunikacích, pořízení součástí dopravního příslušenství                                                                                2025 doplnění informačního systému ulic-značení názvů ulic 200,0 tis. Kč</t>
  </si>
  <si>
    <t>Stavby-pořízení herních prvků dětských hřišť a sestav na veřejná prostranství- (2024 herní prvky zvířat v Zámeckém parku-Drak, Luční koník, Křeslo,  nerezové pítko, houpačka Vimp. nám.) rok 2025 výměna prvků, nový prvek, pítko na veřejné prostranství u radnice</t>
  </si>
  <si>
    <t>Stavby-Likvidace dřevěného objektu v prostoru za radnicí při ul. Ještědská, oplocení prostranství, úprava plochy po odstranění objektu</t>
  </si>
  <si>
    <r>
      <t>2025 Celkem investice Silnice  rozpočet</t>
    </r>
    <r>
      <rPr>
        <b/>
        <sz val="12"/>
        <rFont val="Arial CE"/>
        <charset val="238"/>
      </rPr>
      <t xml:space="preserve"> 31 939,0 tis. </t>
    </r>
    <r>
      <rPr>
        <sz val="12"/>
        <rFont val="Arial CE"/>
        <charset val="238"/>
      </rPr>
      <t>(použity budou i zdroje z příspěvku na investice do území)</t>
    </r>
    <r>
      <rPr>
        <b/>
        <sz val="12"/>
        <rFont val="Arial CE"/>
        <charset val="238"/>
      </rPr>
      <t xml:space="preserve"> </t>
    </r>
  </si>
  <si>
    <t>Neinvestiční transfery spolkům (r. 2024  4Students-festival, Start98)</t>
  </si>
  <si>
    <t xml:space="preserve">Stroje, přístroje, zařízení-pořízení interaktivních tabulí </t>
  </si>
  <si>
    <t>Budovy, stavby- altán-venkovní učebna</t>
  </si>
  <si>
    <t>Drobný hmotný dlouhodobý  majetek - vybavení nábytkem kabinetů a učeben</t>
  </si>
  <si>
    <t>Opravy audržování - oprava venkovních dlažeb a vstupů</t>
  </si>
  <si>
    <t>Zpracování dat a služby související s informačními technologiemi, programové licence správních agend, správa a tvorba web stránek a ost. sítí</t>
  </si>
  <si>
    <t>Nákup ostatních služeb - ostraha, úklid, revize, STK, znal. posudky, geod. zaměření, účetní služby, mytí oken, servis kašny, služby komunikace, pronájem kopírky-tiskárny, obnova certifikátů, ostatní běžné</t>
  </si>
  <si>
    <t>Návrh vyvěšen na úřední desku dne 6.2.2025</t>
  </si>
  <si>
    <t>Návrh zveřejněn na elektronické úřední desce www. praha-kunratice.cz dne 6.2.2025</t>
  </si>
  <si>
    <t xml:space="preserve">
Rozpočet MČ Praha Kunratice na rok 2025 zahrnuje vysoký podíl investičních výdajů zejména na výstavbu tělocvičny základní školy, sportovní areál, komunikace a další objekty. Rozdíl mezi příjmy a výdaji je vyrovnán úsporami prostředků z hospodaření minulých let 25 299,0 tis. Kč. Do rozpočtu je zapojeno 2 916,0 tis. Kč z fondu Domu s chráněnými byty, který je vytvářen z hospodářského výsledku hospodářské činnosti MČ pro potřebu úprav objektu a akcí pro nájemníky. MČ nemá uzavřenu žádnou úvěrovou smlouvu ani do budoucna o úvěru neuvažuje.     </t>
  </si>
  <si>
    <t xml:space="preserve">                                                                                                    Příloha 1</t>
  </si>
  <si>
    <t>Příloha 1</t>
  </si>
  <si>
    <t>Knihy a obdobné listinné informační prostředky - Kniha Kunratický zámek</t>
  </si>
  <si>
    <t>Rok 2025</t>
  </si>
  <si>
    <t>Rozpočet městské části na rok 2025 byl schválen usnesením Zastupitelstva MČ Praha Kunratice č. 19.8 dne 24.2.2025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</si>
</sst>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0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1"/>
      <name val="Arial CE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2"/>
      <name val="Arial CE"/>
      <family val="2"/>
      <charset val="238"/>
    </font>
    <font>
      <i/>
      <sz val="12"/>
      <name val="Arial CE"/>
      <charset val="238"/>
    </font>
    <font>
      <sz val="12"/>
      <color rgb="FFFF0000"/>
      <name val="Arial CE"/>
      <charset val="238"/>
    </font>
    <font>
      <sz val="11"/>
      <color rgb="FFFF0000"/>
      <name val="Arial CE"/>
      <charset val="238"/>
    </font>
    <font>
      <u/>
      <sz val="10"/>
      <color theme="10"/>
      <name val="Arial CE"/>
      <charset val="238"/>
    </font>
    <font>
      <sz val="12"/>
      <color rgb="FF0070C0"/>
      <name val="Arial CE"/>
      <charset val="238"/>
    </font>
    <font>
      <sz val="12"/>
      <color theme="8" tint="-0.249977111117893"/>
      <name val="Arial CE"/>
      <charset val="238"/>
    </font>
    <font>
      <sz val="12"/>
      <color theme="8"/>
      <name val="Arial CE"/>
      <charset val="238"/>
    </font>
    <font>
      <sz val="12"/>
      <color theme="4" tint="-0.249977111117893"/>
      <name val="Arial CE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8"/>
      </patternFill>
    </fill>
    <fill>
      <patternFill patternType="solid">
        <fgColor rgb="FFCCFFFF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E699"/>
        <bgColor rgb="FF000000"/>
      </patternFill>
    </fill>
    <fill>
      <patternFill patternType="solid">
        <fgColor rgb="FFC6E0B4"/>
        <bgColor rgb="FF00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91">
    <xf numFmtId="0" fontId="0" fillId="0" borderId="0" xfId="0"/>
    <xf numFmtId="0" fontId="1" fillId="0" borderId="0" xfId="0" applyFont="1" applyAlignment="1">
      <alignment horizontal="center"/>
    </xf>
    <xf numFmtId="4" fontId="0" fillId="0" borderId="0" xfId="0" applyNumberFormat="1"/>
    <xf numFmtId="0" fontId="1" fillId="0" borderId="0" xfId="0" applyFont="1"/>
    <xf numFmtId="0" fontId="3" fillId="0" borderId="0" xfId="0" applyFont="1"/>
    <xf numFmtId="4" fontId="4" fillId="0" borderId="0" xfId="0" applyNumberFormat="1" applyFont="1"/>
    <xf numFmtId="0" fontId="4" fillId="0" borderId="0" xfId="0" applyFont="1"/>
    <xf numFmtId="0" fontId="2" fillId="0" borderId="0" xfId="0" applyFont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10" fillId="0" borderId="0" xfId="0" applyFont="1"/>
    <xf numFmtId="0" fontId="10" fillId="0" borderId="1" xfId="0" applyFont="1" applyBorder="1" applyAlignment="1">
      <alignment horizontal="center"/>
    </xf>
    <xf numFmtId="4" fontId="10" fillId="0" borderId="0" xfId="0" applyNumberFormat="1" applyFont="1"/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4" borderId="11" xfId="0" applyFont="1" applyFill="1" applyBorder="1" applyAlignment="1">
      <alignment horizontal="center"/>
    </xf>
    <xf numFmtId="0" fontId="10" fillId="4" borderId="12" xfId="0" applyFont="1" applyFill="1" applyBorder="1" applyAlignment="1">
      <alignment horizontal="center"/>
    </xf>
    <xf numFmtId="0" fontId="2" fillId="0" borderId="0" xfId="0" applyFont="1" applyAlignment="1">
      <alignment wrapText="1"/>
    </xf>
    <xf numFmtId="4" fontId="9" fillId="0" borderId="0" xfId="0" applyNumberFormat="1" applyFont="1"/>
    <xf numFmtId="0" fontId="10" fillId="2" borderId="12" xfId="0" applyFont="1" applyFill="1" applyBorder="1" applyAlignment="1">
      <alignment horizontal="center"/>
    </xf>
    <xf numFmtId="4" fontId="2" fillId="2" borderId="14" xfId="0" applyNumberFormat="1" applyFont="1" applyFill="1" applyBorder="1"/>
    <xf numFmtId="0" fontId="10" fillId="0" borderId="1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4" fontId="2" fillId="2" borderId="12" xfId="0" applyNumberFormat="1" applyFont="1" applyFill="1" applyBorder="1" applyAlignment="1">
      <alignment wrapText="1"/>
    </xf>
    <xf numFmtId="0" fontId="10" fillId="3" borderId="11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3" borderId="16" xfId="0" applyFont="1" applyFill="1" applyBorder="1" applyAlignment="1">
      <alignment wrapText="1"/>
    </xf>
    <xf numFmtId="4" fontId="10" fillId="0" borderId="0" xfId="0" applyNumberFormat="1" applyFont="1" applyAlignment="1">
      <alignment horizontal="center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4" fontId="12" fillId="0" borderId="0" xfId="0" applyNumberFormat="1" applyFont="1"/>
    <xf numFmtId="4" fontId="2" fillId="0" borderId="0" xfId="0" applyNumberFormat="1" applyFont="1" applyAlignment="1">
      <alignment wrapText="1"/>
    </xf>
    <xf numFmtId="0" fontId="10" fillId="0" borderId="19" xfId="0" applyFont="1" applyBorder="1" applyAlignment="1">
      <alignment horizontal="center"/>
    </xf>
    <xf numFmtId="0" fontId="2" fillId="0" borderId="19" xfId="0" applyFont="1" applyBorder="1" applyAlignment="1">
      <alignment wrapText="1"/>
    </xf>
    <xf numFmtId="4" fontId="9" fillId="0" borderId="19" xfId="0" applyNumberFormat="1" applyFont="1" applyBorder="1"/>
    <xf numFmtId="0" fontId="10" fillId="0" borderId="13" xfId="0" applyFont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2" xfId="0" applyFont="1" applyBorder="1" applyAlignment="1">
      <alignment wrapText="1"/>
    </xf>
    <xf numFmtId="0" fontId="10" fillId="0" borderId="2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21" xfId="0" applyFont="1" applyBorder="1" applyAlignment="1">
      <alignment wrapText="1"/>
    </xf>
    <xf numFmtId="0" fontId="10" fillId="0" borderId="24" xfId="0" applyFont="1" applyBorder="1" applyAlignment="1">
      <alignment wrapText="1"/>
    </xf>
    <xf numFmtId="0" fontId="9" fillId="0" borderId="24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10" fillId="0" borderId="23" xfId="0" applyFont="1" applyBorder="1" applyAlignment="1">
      <alignment wrapText="1"/>
    </xf>
    <xf numFmtId="0" fontId="9" fillId="0" borderId="23" xfId="0" applyFont="1" applyBorder="1" applyAlignment="1">
      <alignment wrapText="1"/>
    </xf>
    <xf numFmtId="0" fontId="10" fillId="0" borderId="23" xfId="0" applyFont="1" applyBorder="1" applyAlignment="1">
      <alignment horizontal="center" wrapText="1"/>
    </xf>
    <xf numFmtId="0" fontId="11" fillId="0" borderId="23" xfId="0" applyFont="1" applyBorder="1" applyAlignment="1">
      <alignment wrapText="1"/>
    </xf>
    <xf numFmtId="0" fontId="10" fillId="0" borderId="21" xfId="0" applyFont="1" applyBorder="1" applyAlignment="1">
      <alignment wrapText="1"/>
    </xf>
    <xf numFmtId="164" fontId="2" fillId="0" borderId="1" xfId="0" applyNumberFormat="1" applyFont="1" applyBorder="1"/>
    <xf numFmtId="0" fontId="9" fillId="8" borderId="0" xfId="0" applyFont="1" applyFill="1" applyAlignment="1">
      <alignment wrapText="1"/>
    </xf>
    <xf numFmtId="0" fontId="9" fillId="0" borderId="13" xfId="0" applyFont="1" applyBorder="1" applyAlignment="1">
      <alignment wrapText="1"/>
    </xf>
    <xf numFmtId="164" fontId="10" fillId="0" borderId="1" xfId="0" applyNumberFormat="1" applyFont="1" applyBorder="1"/>
    <xf numFmtId="164" fontId="9" fillId="0" borderId="1" xfId="0" applyNumberFormat="1" applyFont="1" applyBorder="1"/>
    <xf numFmtId="4" fontId="10" fillId="0" borderId="12" xfId="0" applyNumberFormat="1" applyFont="1" applyBorder="1" applyAlignment="1">
      <alignment wrapText="1"/>
    </xf>
    <xf numFmtId="4" fontId="2" fillId="2" borderId="14" xfId="0" applyNumberFormat="1" applyFont="1" applyFill="1" applyBorder="1" applyAlignment="1">
      <alignment wrapText="1"/>
    </xf>
    <xf numFmtId="0" fontId="2" fillId="3" borderId="14" xfId="0" applyFont="1" applyFill="1" applyBorder="1" applyAlignment="1">
      <alignment wrapText="1"/>
    </xf>
    <xf numFmtId="0" fontId="10" fillId="9" borderId="24" xfId="0" applyFont="1" applyFill="1" applyBorder="1" applyAlignment="1">
      <alignment wrapText="1"/>
    </xf>
    <xf numFmtId="0" fontId="10" fillId="0" borderId="1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" fillId="3" borderId="7" xfId="0" applyFont="1" applyFill="1" applyBorder="1" applyAlignment="1">
      <alignment wrapText="1"/>
    </xf>
    <xf numFmtId="0" fontId="2" fillId="0" borderId="13" xfId="0" applyFont="1" applyBorder="1" applyAlignment="1">
      <alignment wrapText="1"/>
    </xf>
    <xf numFmtId="4" fontId="2" fillId="0" borderId="13" xfId="0" applyNumberFormat="1" applyFont="1" applyBorder="1"/>
    <xf numFmtId="0" fontId="2" fillId="5" borderId="16" xfId="0" applyFont="1" applyFill="1" applyBorder="1" applyAlignment="1">
      <alignment wrapText="1"/>
    </xf>
    <xf numFmtId="164" fontId="10" fillId="0" borderId="0" xfId="0" applyNumberFormat="1" applyFont="1"/>
    <xf numFmtId="164" fontId="10" fillId="0" borderId="0" xfId="0" applyNumberFormat="1" applyFont="1" applyAlignment="1">
      <alignment horizontal="center" wrapText="1"/>
    </xf>
    <xf numFmtId="164" fontId="2" fillId="2" borderId="12" xfId="0" applyNumberFormat="1" applyFont="1" applyFill="1" applyBorder="1"/>
    <xf numFmtId="164" fontId="10" fillId="0" borderId="0" xfId="0" applyNumberFormat="1" applyFont="1" applyAlignment="1">
      <alignment wrapText="1"/>
    </xf>
    <xf numFmtId="164" fontId="14" fillId="0" borderId="0" xfId="0" applyNumberFormat="1" applyFont="1" applyAlignment="1">
      <alignment horizontal="left" vertical="top" wrapText="1"/>
    </xf>
    <xf numFmtId="0" fontId="10" fillId="0" borderId="22" xfId="0" applyFont="1" applyBorder="1" applyAlignment="1">
      <alignment horizontal="center"/>
    </xf>
    <xf numFmtId="0" fontId="9" fillId="0" borderId="22" xfId="0" applyFont="1" applyBorder="1" applyAlignment="1">
      <alignment wrapText="1"/>
    </xf>
    <xf numFmtId="164" fontId="10" fillId="0" borderId="3" xfId="0" applyNumberFormat="1" applyFont="1" applyBorder="1"/>
    <xf numFmtId="164" fontId="2" fillId="3" borderId="12" xfId="0" applyNumberFormat="1" applyFont="1" applyFill="1" applyBorder="1"/>
    <xf numFmtId="164" fontId="2" fillId="0" borderId="13" xfId="0" applyNumberFormat="1" applyFont="1" applyBorder="1"/>
    <xf numFmtId="164" fontId="12" fillId="0" borderId="0" xfId="0" applyNumberFormat="1" applyFont="1" applyAlignment="1">
      <alignment wrapText="1"/>
    </xf>
    <xf numFmtId="164" fontId="0" fillId="0" borderId="0" xfId="0" applyNumberFormat="1"/>
    <xf numFmtId="0" fontId="13" fillId="0" borderId="0" xfId="0" applyFont="1" applyAlignment="1">
      <alignment horizontal="center"/>
    </xf>
    <xf numFmtId="0" fontId="10" fillId="0" borderId="33" xfId="0" applyFont="1" applyBorder="1" applyAlignment="1">
      <alignment wrapText="1"/>
    </xf>
    <xf numFmtId="0" fontId="10" fillId="9" borderId="22" xfId="0" applyFont="1" applyFill="1" applyBorder="1" applyAlignment="1">
      <alignment wrapText="1"/>
    </xf>
    <xf numFmtId="0" fontId="10" fillId="9" borderId="22" xfId="0" applyFont="1" applyFill="1" applyBorder="1" applyAlignment="1">
      <alignment horizontal="left" wrapText="1"/>
    </xf>
    <xf numFmtId="0" fontId="11" fillId="0" borderId="22" xfId="0" applyFont="1" applyBorder="1" applyAlignment="1">
      <alignment wrapText="1"/>
    </xf>
    <xf numFmtId="164" fontId="10" fillId="0" borderId="17" xfId="0" applyNumberFormat="1" applyFont="1" applyBorder="1"/>
    <xf numFmtId="164" fontId="10" fillId="8" borderId="0" xfId="0" applyNumberFormat="1" applyFont="1" applyFill="1"/>
    <xf numFmtId="164" fontId="10" fillId="0" borderId="13" xfId="0" applyNumberFormat="1" applyFont="1" applyBorder="1"/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6" borderId="3" xfId="0" applyNumberFormat="1" applyFont="1" applyFill="1" applyBorder="1" applyAlignment="1">
      <alignment horizontal="center"/>
    </xf>
    <xf numFmtId="0" fontId="10" fillId="2" borderId="32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2" fillId="2" borderId="12" xfId="0" applyFont="1" applyFill="1" applyBorder="1" applyAlignment="1">
      <alignment wrapText="1"/>
    </xf>
    <xf numFmtId="0" fontId="2" fillId="4" borderId="14" xfId="0" applyFont="1" applyFill="1" applyBorder="1" applyAlignment="1">
      <alignment wrapText="1"/>
    </xf>
    <xf numFmtId="4" fontId="10" fillId="0" borderId="13" xfId="0" applyNumberFormat="1" applyFont="1" applyBorder="1"/>
    <xf numFmtId="4" fontId="10" fillId="0" borderId="14" xfId="0" applyNumberFormat="1" applyFont="1" applyBorder="1" applyAlignment="1">
      <alignment wrapText="1"/>
    </xf>
    <xf numFmtId="164" fontId="10" fillId="9" borderId="1" xfId="0" applyNumberFormat="1" applyFont="1" applyFill="1" applyBorder="1"/>
    <xf numFmtId="0" fontId="10" fillId="0" borderId="13" xfId="0" applyFont="1" applyBorder="1" applyAlignment="1">
      <alignment wrapText="1"/>
    </xf>
    <xf numFmtId="0" fontId="16" fillId="0" borderId="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6" fillId="0" borderId="22" xfId="0" applyFont="1" applyBorder="1" applyAlignment="1">
      <alignment wrapText="1"/>
    </xf>
    <xf numFmtId="4" fontId="14" fillId="0" borderId="0" xfId="0" applyNumberFormat="1" applyFont="1" applyAlignment="1">
      <alignment horizontal="left" vertical="top" wrapText="1"/>
    </xf>
    <xf numFmtId="0" fontId="2" fillId="0" borderId="20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4" fontId="2" fillId="6" borderId="37" xfId="0" applyNumberFormat="1" applyFont="1" applyFill="1" applyBorder="1" applyAlignment="1">
      <alignment horizontal="center"/>
    </xf>
    <xf numFmtId="164" fontId="10" fillId="0" borderId="9" xfId="0" applyNumberFormat="1" applyFont="1" applyBorder="1"/>
    <xf numFmtId="164" fontId="9" fillId="0" borderId="9" xfId="0" applyNumberFormat="1" applyFont="1" applyBorder="1"/>
    <xf numFmtId="164" fontId="10" fillId="0" borderId="19" xfId="0" applyNumberFormat="1" applyFont="1" applyBorder="1"/>
    <xf numFmtId="0" fontId="9" fillId="7" borderId="24" xfId="0" applyFont="1" applyFill="1" applyBorder="1" applyAlignment="1">
      <alignment horizontal="left" wrapText="1"/>
    </xf>
    <xf numFmtId="0" fontId="10" fillId="0" borderId="5" xfId="0" applyFont="1" applyBorder="1" applyAlignment="1">
      <alignment horizontal="center" wrapText="1"/>
    </xf>
    <xf numFmtId="0" fontId="10" fillId="0" borderId="26" xfId="0" applyFont="1" applyBorder="1" applyAlignment="1">
      <alignment horizontal="center" wrapText="1"/>
    </xf>
    <xf numFmtId="164" fontId="10" fillId="0" borderId="1" xfId="0" applyNumberFormat="1" applyFont="1" applyBorder="1" applyAlignment="1">
      <alignment wrapText="1"/>
    </xf>
    <xf numFmtId="0" fontId="9" fillId="0" borderId="21" xfId="0" applyFont="1" applyBorder="1" applyAlignment="1">
      <alignment wrapText="1"/>
    </xf>
    <xf numFmtId="0" fontId="11" fillId="0" borderId="23" xfId="0" applyFont="1" applyBorder="1" applyAlignment="1">
      <alignment horizontal="left" wrapText="1"/>
    </xf>
    <xf numFmtId="0" fontId="10" fillId="0" borderId="35" xfId="0" applyFont="1" applyBorder="1" applyAlignment="1">
      <alignment horizontal="center"/>
    </xf>
    <xf numFmtId="0" fontId="2" fillId="0" borderId="24" xfId="0" applyFont="1" applyBorder="1" applyAlignment="1">
      <alignment horizontal="left" wrapText="1"/>
    </xf>
    <xf numFmtId="0" fontId="10" fillId="2" borderId="10" xfId="0" applyFont="1" applyFill="1" applyBorder="1" applyAlignment="1">
      <alignment horizontal="center"/>
    </xf>
    <xf numFmtId="0" fontId="16" fillId="0" borderId="5" xfId="0" applyFont="1" applyBorder="1" applyAlignment="1">
      <alignment horizontal="center" wrapText="1"/>
    </xf>
    <xf numFmtId="0" fontId="16" fillId="0" borderId="26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6" fillId="0" borderId="22" xfId="0" applyFont="1" applyBorder="1"/>
    <xf numFmtId="164" fontId="10" fillId="0" borderId="21" xfId="0" applyNumberFormat="1" applyFont="1" applyBorder="1"/>
    <xf numFmtId="164" fontId="10" fillId="0" borderId="29" xfId="0" applyNumberFormat="1" applyFont="1" applyBorder="1"/>
    <xf numFmtId="164" fontId="2" fillId="6" borderId="8" xfId="0" applyNumberFormat="1" applyFont="1" applyFill="1" applyBorder="1" applyAlignment="1">
      <alignment horizontal="center"/>
    </xf>
    <xf numFmtId="164" fontId="10" fillId="0" borderId="4" xfId="0" applyNumberFormat="1" applyFont="1" applyBorder="1"/>
    <xf numFmtId="164" fontId="9" fillId="0" borderId="4" xfId="0" applyNumberFormat="1" applyFont="1" applyBorder="1"/>
    <xf numFmtId="164" fontId="10" fillId="0" borderId="34" xfId="0" applyNumberFormat="1" applyFont="1" applyBorder="1" applyAlignment="1">
      <alignment wrapText="1"/>
    </xf>
    <xf numFmtId="164" fontId="10" fillId="0" borderId="22" xfId="0" applyNumberFormat="1" applyFont="1" applyBorder="1"/>
    <xf numFmtId="164" fontId="10" fillId="0" borderId="30" xfId="0" applyNumberFormat="1" applyFont="1" applyBorder="1"/>
    <xf numFmtId="164" fontId="10" fillId="0" borderId="31" xfId="0" applyNumberFormat="1" applyFont="1" applyBorder="1"/>
    <xf numFmtId="164" fontId="10" fillId="0" borderId="8" xfId="0" applyNumberFormat="1" applyFont="1" applyBorder="1"/>
    <xf numFmtId="164" fontId="2" fillId="3" borderId="15" xfId="0" applyNumberFormat="1" applyFont="1" applyFill="1" applyBorder="1"/>
    <xf numFmtId="4" fontId="10" fillId="0" borderId="28" xfId="0" applyNumberFormat="1" applyFont="1" applyBorder="1" applyAlignment="1">
      <alignment wrapText="1"/>
    </xf>
    <xf numFmtId="164" fontId="10" fillId="9" borderId="4" xfId="0" applyNumberFormat="1" applyFont="1" applyFill="1" applyBorder="1"/>
    <xf numFmtId="164" fontId="2" fillId="0" borderId="4" xfId="0" applyNumberFormat="1" applyFont="1" applyBorder="1"/>
    <xf numFmtId="164" fontId="10" fillId="0" borderId="40" xfId="0" applyNumberFormat="1" applyFont="1" applyBorder="1"/>
    <xf numFmtId="164" fontId="2" fillId="2" borderId="16" xfId="0" applyNumberFormat="1" applyFont="1" applyFill="1" applyBorder="1"/>
    <xf numFmtId="0" fontId="17" fillId="0" borderId="23" xfId="0" applyFont="1" applyBorder="1" applyAlignment="1">
      <alignment horizontal="center"/>
    </xf>
    <xf numFmtId="0" fontId="10" fillId="9" borderId="41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2" fillId="0" borderId="28" xfId="0" applyFont="1" applyBorder="1" applyAlignment="1">
      <alignment wrapText="1"/>
    </xf>
    <xf numFmtId="164" fontId="10" fillId="0" borderId="10" xfId="0" applyNumberFormat="1" applyFont="1" applyBorder="1"/>
    <xf numFmtId="164" fontId="2" fillId="0" borderId="9" xfId="0" applyNumberFormat="1" applyFont="1" applyBorder="1"/>
    <xf numFmtId="0" fontId="2" fillId="2" borderId="7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49" fontId="2" fillId="6" borderId="36" xfId="0" applyNumberFormat="1" applyFont="1" applyFill="1" applyBorder="1" applyAlignment="1">
      <alignment horizontal="center"/>
    </xf>
    <xf numFmtId="4" fontId="10" fillId="0" borderId="23" xfId="0" applyNumberFormat="1" applyFont="1" applyBorder="1"/>
    <xf numFmtId="4" fontId="2" fillId="0" borderId="23" xfId="0" applyNumberFormat="1" applyFont="1" applyBorder="1"/>
    <xf numFmtId="4" fontId="5" fillId="0" borderId="23" xfId="0" applyNumberFormat="1" applyFont="1" applyBorder="1"/>
    <xf numFmtId="0" fontId="17" fillId="0" borderId="23" xfId="0" applyFont="1" applyBorder="1"/>
    <xf numFmtId="4" fontId="9" fillId="0" borderId="23" xfId="0" applyNumberFormat="1" applyFont="1" applyBorder="1"/>
    <xf numFmtId="4" fontId="10" fillId="9" borderId="23" xfId="0" applyNumberFormat="1" applyFont="1" applyFill="1" applyBorder="1"/>
    <xf numFmtId="0" fontId="2" fillId="0" borderId="23" xfId="0" applyFont="1" applyBorder="1"/>
    <xf numFmtId="4" fontId="2" fillId="0" borderId="0" xfId="0" applyNumberFormat="1" applyFont="1"/>
    <xf numFmtId="4" fontId="6" fillId="0" borderId="0" xfId="0" applyNumberFormat="1" applyFont="1"/>
    <xf numFmtId="4" fontId="10" fillId="0" borderId="37" xfId="0" applyNumberFormat="1" applyFont="1" applyBorder="1"/>
    <xf numFmtId="164" fontId="9" fillId="0" borderId="10" xfId="0" applyNumberFormat="1" applyFont="1" applyBorder="1"/>
    <xf numFmtId="4" fontId="9" fillId="0" borderId="36" xfId="0" applyNumberFormat="1" applyFont="1" applyBorder="1"/>
    <xf numFmtId="164" fontId="9" fillId="0" borderId="32" xfId="0" applyNumberFormat="1" applyFont="1" applyBorder="1"/>
    <xf numFmtId="164" fontId="9" fillId="0" borderId="39" xfId="0" applyNumberFormat="1" applyFont="1" applyBorder="1"/>
    <xf numFmtId="164" fontId="2" fillId="4" borderId="12" xfId="0" applyNumberFormat="1" applyFont="1" applyFill="1" applyBorder="1"/>
    <xf numFmtId="4" fontId="2" fillId="4" borderId="14" xfId="0" applyNumberFormat="1" applyFont="1" applyFill="1" applyBorder="1"/>
    <xf numFmtId="4" fontId="10" fillId="8" borderId="0" xfId="0" applyNumberFormat="1" applyFont="1" applyFill="1"/>
    <xf numFmtId="0" fontId="2" fillId="2" borderId="37" xfId="0" applyFont="1" applyFill="1" applyBorder="1" applyAlignment="1">
      <alignment horizontal="center" wrapText="1"/>
    </xf>
    <xf numFmtId="0" fontId="2" fillId="2" borderId="36" xfId="0" applyFont="1" applyFill="1" applyBorder="1" applyAlignment="1">
      <alignment horizontal="center" wrapText="1"/>
    </xf>
    <xf numFmtId="164" fontId="9" fillId="6" borderId="3" xfId="0" applyNumberFormat="1" applyFont="1" applyFill="1" applyBorder="1" applyAlignment="1">
      <alignment horizontal="center"/>
    </xf>
    <xf numFmtId="164" fontId="2" fillId="6" borderId="1" xfId="0" applyNumberFormat="1" applyFont="1" applyFill="1" applyBorder="1" applyAlignment="1">
      <alignment horizontal="center"/>
    </xf>
    <xf numFmtId="0" fontId="10" fillId="0" borderId="37" xfId="0" applyFont="1" applyBorder="1" applyAlignment="1">
      <alignment wrapText="1"/>
    </xf>
    <xf numFmtId="0" fontId="9" fillId="0" borderId="36" xfId="0" applyFont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2" fillId="2" borderId="13" xfId="0" applyFont="1" applyFill="1" applyBorder="1" applyAlignment="1">
      <alignment wrapText="1"/>
    </xf>
    <xf numFmtId="164" fontId="9" fillId="2" borderId="12" xfId="0" applyNumberFormat="1" applyFont="1" applyFill="1" applyBorder="1"/>
    <xf numFmtId="4" fontId="2" fillId="2" borderId="15" xfId="0" applyNumberFormat="1" applyFont="1" applyFill="1" applyBorder="1"/>
    <xf numFmtId="164" fontId="9" fillId="4" borderId="12" xfId="0" applyNumberFormat="1" applyFont="1" applyFill="1" applyBorder="1"/>
    <xf numFmtId="164" fontId="10" fillId="0" borderId="42" xfId="0" applyNumberFormat="1" applyFont="1" applyBorder="1"/>
    <xf numFmtId="164" fontId="10" fillId="9" borderId="23" xfId="0" applyNumberFormat="1" applyFont="1" applyFill="1" applyBorder="1"/>
    <xf numFmtId="164" fontId="6" fillId="0" borderId="35" xfId="0" applyNumberFormat="1" applyFont="1" applyBorder="1" applyAlignment="1">
      <alignment horizontal="center"/>
    </xf>
    <xf numFmtId="164" fontId="9" fillId="0" borderId="35" xfId="0" applyNumberFormat="1" applyFont="1" applyBorder="1" applyAlignment="1">
      <alignment horizontal="center"/>
    </xf>
    <xf numFmtId="164" fontId="2" fillId="6" borderId="10" xfId="0" applyNumberFormat="1" applyFont="1" applyFill="1" applyBorder="1" applyAlignment="1">
      <alignment horizontal="center"/>
    </xf>
    <xf numFmtId="164" fontId="9" fillId="6" borderId="10" xfId="0" applyNumberFormat="1" applyFont="1" applyFill="1" applyBorder="1" applyAlignment="1">
      <alignment horizontal="center"/>
    </xf>
    <xf numFmtId="0" fontId="10" fillId="0" borderId="20" xfId="0" applyFont="1" applyBorder="1" applyAlignment="1">
      <alignment wrapText="1"/>
    </xf>
    <xf numFmtId="0" fontId="2" fillId="2" borderId="27" xfId="0" applyFont="1" applyFill="1" applyBorder="1" applyAlignment="1">
      <alignment horizontal="center" wrapText="1"/>
    </xf>
    <xf numFmtId="4" fontId="6" fillId="0" borderId="24" xfId="0" applyNumberFormat="1" applyFont="1" applyBorder="1" applyAlignment="1">
      <alignment horizontal="center"/>
    </xf>
    <xf numFmtId="4" fontId="2" fillId="0" borderId="38" xfId="0" applyNumberFormat="1" applyFont="1" applyBorder="1"/>
    <xf numFmtId="4" fontId="5" fillId="0" borderId="43" xfId="0" applyNumberFormat="1" applyFont="1" applyBorder="1"/>
    <xf numFmtId="0" fontId="10" fillId="0" borderId="40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2" fillId="0" borderId="38" xfId="0" applyFont="1" applyBorder="1"/>
    <xf numFmtId="164" fontId="10" fillId="0" borderId="18" xfId="0" applyNumberFormat="1" applyFont="1" applyBorder="1"/>
    <xf numFmtId="0" fontId="11" fillId="2" borderId="12" xfId="0" applyFont="1" applyFill="1" applyBorder="1" applyAlignment="1">
      <alignment horizontal="center"/>
    </xf>
    <xf numFmtId="49" fontId="2" fillId="6" borderId="23" xfId="0" applyNumberFormat="1" applyFont="1" applyFill="1" applyBorder="1" applyAlignment="1">
      <alignment horizontal="center"/>
    </xf>
    <xf numFmtId="49" fontId="10" fillId="9" borderId="1" xfId="0" applyNumberFormat="1" applyFont="1" applyFill="1" applyBorder="1" applyAlignment="1">
      <alignment horizontal="center"/>
    </xf>
    <xf numFmtId="164" fontId="18" fillId="0" borderId="1" xfId="0" applyNumberFormat="1" applyFont="1" applyBorder="1"/>
    <xf numFmtId="164" fontId="18" fillId="0" borderId="1" xfId="0" applyNumberFormat="1" applyFont="1" applyBorder="1" applyAlignment="1">
      <alignment wrapText="1"/>
    </xf>
    <xf numFmtId="4" fontId="2" fillId="3" borderId="15" xfId="0" applyNumberFormat="1" applyFont="1" applyFill="1" applyBorder="1"/>
    <xf numFmtId="4" fontId="13" fillId="0" borderId="23" xfId="0" applyNumberFormat="1" applyFont="1" applyBorder="1"/>
    <xf numFmtId="0" fontId="9" fillId="10" borderId="22" xfId="0" applyFont="1" applyFill="1" applyBorder="1" applyAlignment="1">
      <alignment wrapText="1"/>
    </xf>
    <xf numFmtId="4" fontId="10" fillId="9" borderId="23" xfId="0" applyNumberFormat="1" applyFont="1" applyFill="1" applyBorder="1" applyAlignment="1">
      <alignment wrapText="1"/>
    </xf>
    <xf numFmtId="4" fontId="10" fillId="0" borderId="23" xfId="0" applyNumberFormat="1" applyFont="1" applyBorder="1" applyAlignment="1">
      <alignment wrapText="1"/>
    </xf>
    <xf numFmtId="4" fontId="10" fillId="0" borderId="36" xfId="0" applyNumberFormat="1" applyFont="1" applyBorder="1"/>
    <xf numFmtId="0" fontId="14" fillId="0" borderId="0" xfId="0" applyFont="1" applyAlignment="1">
      <alignment horizontal="left" vertical="top" wrapText="1"/>
    </xf>
    <xf numFmtId="0" fontId="0" fillId="0" borderId="0" xfId="0"/>
    <xf numFmtId="4" fontId="0" fillId="0" borderId="0" xfId="0" applyNumberFormat="1" applyFont="1"/>
    <xf numFmtId="0" fontId="0" fillId="0" borderId="0" xfId="0"/>
    <xf numFmtId="0" fontId="0" fillId="0" borderId="0" xfId="0"/>
    <xf numFmtId="0" fontId="0" fillId="0" borderId="0" xfId="0" applyFont="1"/>
    <xf numFmtId="4" fontId="19" fillId="0" borderId="23" xfId="0" applyNumberFormat="1" applyFont="1" applyBorder="1"/>
    <xf numFmtId="4" fontId="19" fillId="0" borderId="23" xfId="0" applyNumberFormat="1" applyFont="1" applyBorder="1" applyAlignment="1">
      <alignment wrapText="1"/>
    </xf>
    <xf numFmtId="0" fontId="19" fillId="0" borderId="5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22" xfId="0" applyFont="1" applyBorder="1" applyAlignment="1">
      <alignment wrapText="1"/>
    </xf>
    <xf numFmtId="164" fontId="19" fillId="0" borderId="1" xfId="0" applyNumberFormat="1" applyFont="1" applyBorder="1"/>
    <xf numFmtId="0" fontId="0" fillId="0" borderId="0" xfId="0"/>
    <xf numFmtId="0" fontId="0" fillId="0" borderId="0" xfId="0"/>
    <xf numFmtId="164" fontId="10" fillId="0" borderId="19" xfId="0" applyNumberFormat="1" applyFont="1" applyFill="1" applyBorder="1"/>
    <xf numFmtId="164" fontId="10" fillId="0" borderId="0" xfId="0" applyNumberFormat="1" applyFont="1" applyFill="1" applyBorder="1"/>
    <xf numFmtId="164" fontId="9" fillId="0" borderId="0" xfId="0" applyNumberFormat="1" applyFont="1" applyFill="1" applyBorder="1"/>
    <xf numFmtId="164" fontId="2" fillId="0" borderId="0" xfId="0" applyNumberFormat="1" applyFont="1" applyFill="1" applyBorder="1"/>
    <xf numFmtId="164" fontId="6" fillId="0" borderId="4" xfId="0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164" fontId="13" fillId="0" borderId="9" xfId="0" applyNumberFormat="1" applyFont="1" applyBorder="1"/>
    <xf numFmtId="164" fontId="9" fillId="6" borderId="32" xfId="0" applyNumberFormat="1" applyFont="1" applyFill="1" applyBorder="1" applyAlignment="1">
      <alignment horizontal="center"/>
    </xf>
    <xf numFmtId="164" fontId="2" fillId="2" borderId="15" xfId="0" applyNumberFormat="1" applyFont="1" applyFill="1" applyBorder="1"/>
    <xf numFmtId="164" fontId="2" fillId="4" borderId="15" xfId="0" applyNumberFormat="1" applyFont="1" applyFill="1" applyBorder="1"/>
    <xf numFmtId="164" fontId="2" fillId="6" borderId="29" xfId="0" applyNumberFormat="1" applyFont="1" applyFill="1" applyBorder="1" applyAlignment="1">
      <alignment horizontal="center"/>
    </xf>
    <xf numFmtId="164" fontId="2" fillId="6" borderId="39" xfId="0" applyNumberFormat="1" applyFont="1" applyFill="1" applyBorder="1" applyAlignment="1">
      <alignment horizontal="center"/>
    </xf>
    <xf numFmtId="164" fontId="0" fillId="0" borderId="4" xfId="0" applyNumberFormat="1" applyBorder="1"/>
    <xf numFmtId="164" fontId="0" fillId="0" borderId="9" xfId="0" applyNumberFormat="1" applyBorder="1"/>
    <xf numFmtId="164" fontId="4" fillId="0" borderId="0" xfId="0" applyNumberFormat="1" applyFont="1"/>
    <xf numFmtId="0" fontId="0" fillId="0" borderId="0" xfId="0"/>
    <xf numFmtId="164" fontId="2" fillId="6" borderId="44" xfId="0" applyNumberFormat="1" applyFont="1" applyFill="1" applyBorder="1" applyAlignment="1">
      <alignment horizontal="center"/>
    </xf>
    <xf numFmtId="164" fontId="9" fillId="6" borderId="7" xfId="0" applyNumberFormat="1" applyFont="1" applyFill="1" applyBorder="1" applyAlignment="1">
      <alignment horizontal="center"/>
    </xf>
    <xf numFmtId="164" fontId="2" fillId="6" borderId="45" xfId="0" applyNumberFormat="1" applyFont="1" applyFill="1" applyBorder="1" applyAlignment="1">
      <alignment horizontal="center"/>
    </xf>
    <xf numFmtId="164" fontId="9" fillId="0" borderId="0" xfId="0" applyNumberFormat="1" applyFont="1"/>
    <xf numFmtId="0" fontId="9" fillId="9" borderId="24" xfId="0" applyFont="1" applyFill="1" applyBorder="1" applyAlignment="1">
      <alignment wrapText="1"/>
    </xf>
    <xf numFmtId="0" fontId="2" fillId="0" borderId="46" xfId="0" applyFont="1" applyFill="1" applyBorder="1" applyAlignment="1">
      <alignment horizontal="center"/>
    </xf>
    <xf numFmtId="0" fontId="2" fillId="0" borderId="47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49" fontId="2" fillId="0" borderId="23" xfId="0" applyNumberFormat="1" applyFont="1" applyFill="1" applyBorder="1" applyAlignment="1">
      <alignment horizontal="center"/>
    </xf>
    <xf numFmtId="0" fontId="0" fillId="0" borderId="0" xfId="0" applyFill="1"/>
    <xf numFmtId="0" fontId="2" fillId="0" borderId="0" xfId="0" applyFont="1" applyFill="1" applyBorder="1" applyAlignment="1">
      <alignment horizontal="left" wrapText="1"/>
    </xf>
    <xf numFmtId="164" fontId="10" fillId="0" borderId="23" xfId="0" applyNumberFormat="1" applyFont="1" applyBorder="1"/>
    <xf numFmtId="0" fontId="0" fillId="0" borderId="0" xfId="0" applyFont="1" applyAlignment="1">
      <alignment horizontal="center"/>
    </xf>
    <xf numFmtId="0" fontId="0" fillId="0" borderId="0" xfId="0" applyFont="1" applyFill="1"/>
    <xf numFmtId="0" fontId="0" fillId="0" borderId="0" xfId="0" applyFont="1" applyAlignment="1">
      <alignment wrapText="1"/>
    </xf>
    <xf numFmtId="164" fontId="9" fillId="0" borderId="23" xfId="0" applyNumberFormat="1" applyFont="1" applyBorder="1"/>
    <xf numFmtId="164" fontId="9" fillId="0" borderId="8" xfId="0" applyNumberFormat="1" applyFont="1" applyFill="1" applyBorder="1" applyAlignment="1">
      <alignment horizontal="center"/>
    </xf>
    <xf numFmtId="164" fontId="2" fillId="0" borderId="29" xfId="0" applyNumberFormat="1" applyFont="1" applyFill="1" applyBorder="1" applyAlignment="1">
      <alignment horizontal="center"/>
    </xf>
    <xf numFmtId="164" fontId="2" fillId="2" borderId="4" xfId="0" applyNumberFormat="1" applyFont="1" applyFill="1" applyBorder="1"/>
    <xf numFmtId="164" fontId="9" fillId="2" borderId="9" xfId="0" applyNumberFormat="1" applyFont="1" applyFill="1" applyBorder="1"/>
    <xf numFmtId="164" fontId="10" fillId="0" borderId="32" xfId="0" applyNumberFormat="1" applyFont="1" applyBorder="1" applyAlignment="1">
      <alignment wrapText="1"/>
    </xf>
    <xf numFmtId="164" fontId="10" fillId="0" borderId="39" xfId="0" applyNumberFormat="1" applyFont="1" applyBorder="1" applyAlignment="1">
      <alignment wrapText="1"/>
    </xf>
    <xf numFmtId="4" fontId="2" fillId="3" borderId="14" xfId="0" applyNumberFormat="1" applyFont="1" applyFill="1" applyBorder="1"/>
    <xf numFmtId="164" fontId="2" fillId="3" borderId="16" xfId="0" applyNumberFormat="1" applyFont="1" applyFill="1" applyBorder="1"/>
    <xf numFmtId="164" fontId="10" fillId="0" borderId="4" xfId="0" applyNumberFormat="1" applyFont="1" applyFill="1" applyBorder="1"/>
    <xf numFmtId="0" fontId="10" fillId="0" borderId="5" xfId="0" applyFont="1" applyFill="1" applyBorder="1" applyAlignment="1">
      <alignment horizontal="center"/>
    </xf>
    <xf numFmtId="0" fontId="10" fillId="0" borderId="26" xfId="0" applyFont="1" applyFill="1" applyBorder="1" applyAlignment="1">
      <alignment horizontal="center"/>
    </xf>
    <xf numFmtId="0" fontId="10" fillId="0" borderId="22" xfId="0" applyFont="1" applyFill="1" applyBorder="1" applyAlignment="1">
      <alignment wrapText="1"/>
    </xf>
    <xf numFmtId="164" fontId="10" fillId="0" borderId="1" xfId="0" applyNumberFormat="1" applyFont="1" applyFill="1" applyBorder="1"/>
    <xf numFmtId="4" fontId="10" fillId="0" borderId="23" xfId="0" applyNumberFormat="1" applyFont="1" applyFill="1" applyBorder="1"/>
    <xf numFmtId="164" fontId="10" fillId="0" borderId="9" xfId="0" applyNumberFormat="1" applyFont="1" applyFill="1" applyBorder="1"/>
    <xf numFmtId="0" fontId="8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8" fillId="3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3" fillId="0" borderId="0" xfId="1" applyFont="1" applyAlignment="1">
      <alignment horizontal="center"/>
    </xf>
    <xf numFmtId="0" fontId="7" fillId="0" borderId="0" xfId="0" applyFont="1" applyAlignment="1">
      <alignment horizontal="center" wrapText="1"/>
    </xf>
    <xf numFmtId="0" fontId="5" fillId="0" borderId="19" xfId="0" applyFont="1" applyBorder="1" applyAlignment="1">
      <alignment horizontal="left" wrapText="1"/>
    </xf>
    <xf numFmtId="0" fontId="0" fillId="0" borderId="19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7" fillId="0" borderId="0" xfId="0" applyFont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619125</xdr:colOff>
      <xdr:row>3</xdr:row>
      <xdr:rowOff>10906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19125" cy="734806"/>
        </a:xfrm>
        <a:prstGeom prst="rect">
          <a:avLst/>
        </a:prstGeom>
        <a:solidFill>
          <a:schemeClr val="accent1">
            <a:lumMod val="75000"/>
          </a:scheme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563217</xdr:colOff>
      <xdr:row>2</xdr:row>
      <xdr:rowOff>206568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63217" cy="663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aha-kunratice.cz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abSelected="1" topLeftCell="A70" zoomScaleNormal="100" zoomScaleSheetLayoutView="100" workbookViewId="0">
      <selection activeCell="C99" sqref="C99"/>
    </sheetView>
  </sheetViews>
  <sheetFormatPr defaultRowHeight="15" x14ac:dyDescent="0.2"/>
  <cols>
    <col min="1" max="2" width="11" style="13" customWidth="1"/>
    <col min="3" max="3" width="78.5703125" style="12" customWidth="1"/>
    <col min="4" max="4" width="13.7109375" style="94" customWidth="1"/>
    <col min="5" max="5" width="13.7109375" style="83" customWidth="1"/>
    <col min="6" max="6" width="17.28515625" style="2" customWidth="1"/>
    <col min="7" max="7" width="15.42578125" style="94" customWidth="1"/>
    <col min="8" max="8" width="13.5703125" style="94" customWidth="1"/>
    <col min="9" max="16384" width="9.140625" style="220"/>
  </cols>
  <sheetData>
    <row r="1" spans="1:8" ht="18" x14ac:dyDescent="0.25">
      <c r="A1" s="280"/>
      <c r="B1" s="280"/>
      <c r="C1" s="280"/>
      <c r="D1" s="280"/>
      <c r="E1" s="280"/>
      <c r="F1" s="280"/>
      <c r="G1" s="281"/>
      <c r="H1" s="282"/>
    </row>
    <row r="2" spans="1:8" ht="21" customHeight="1" x14ac:dyDescent="0.25">
      <c r="A2" s="280" t="s">
        <v>333</v>
      </c>
      <c r="B2" s="280"/>
      <c r="C2" s="280"/>
      <c r="D2" s="280"/>
      <c r="E2" s="280"/>
      <c r="F2" s="280"/>
      <c r="G2" s="280"/>
      <c r="H2" s="282"/>
    </row>
    <row r="3" spans="1:8" ht="18" customHeight="1" x14ac:dyDescent="0.25">
      <c r="A3" s="283" t="s">
        <v>384</v>
      </c>
      <c r="B3" s="283"/>
      <c r="C3" s="283"/>
      <c r="D3" s="283"/>
      <c r="E3" s="283"/>
      <c r="F3" s="283"/>
      <c r="G3" s="284"/>
      <c r="H3" s="284"/>
    </row>
    <row r="4" spans="1:8" ht="15.75" thickBot="1" x14ac:dyDescent="0.25">
      <c r="C4" s="14"/>
    </row>
    <row r="5" spans="1:8" ht="15.75" x14ac:dyDescent="0.25">
      <c r="A5" s="103" t="s">
        <v>1</v>
      </c>
      <c r="B5" s="104" t="s">
        <v>0</v>
      </c>
      <c r="C5" s="182" t="s">
        <v>28</v>
      </c>
      <c r="D5" s="105" t="s">
        <v>258</v>
      </c>
      <c r="E5" s="184" t="s">
        <v>259</v>
      </c>
      <c r="F5" s="122" t="s">
        <v>101</v>
      </c>
      <c r="G5" s="141" t="s">
        <v>386</v>
      </c>
      <c r="H5" s="243" t="s">
        <v>386</v>
      </c>
    </row>
    <row r="6" spans="1:8" ht="16.5" thickBot="1" x14ac:dyDescent="0.3">
      <c r="A6" s="106"/>
      <c r="B6" s="134"/>
      <c r="C6" s="183" t="s">
        <v>29</v>
      </c>
      <c r="D6" s="197" t="s">
        <v>3</v>
      </c>
      <c r="E6" s="198" t="s">
        <v>3</v>
      </c>
      <c r="F6" s="164" t="s">
        <v>329</v>
      </c>
      <c r="G6" s="240" t="s">
        <v>3</v>
      </c>
      <c r="H6" s="244" t="s">
        <v>3</v>
      </c>
    </row>
    <row r="7" spans="1:8" ht="15.75" x14ac:dyDescent="0.25">
      <c r="A7" s="52"/>
      <c r="B7" s="132"/>
      <c r="C7" s="133" t="s">
        <v>66</v>
      </c>
      <c r="D7" s="195"/>
      <c r="E7" s="196"/>
      <c r="F7" s="201"/>
      <c r="G7" s="245"/>
      <c r="H7" s="246"/>
    </row>
    <row r="8" spans="1:8" x14ac:dyDescent="0.2">
      <c r="A8" s="8">
        <v>1341</v>
      </c>
      <c r="B8" s="10"/>
      <c r="C8" s="63" t="s">
        <v>142</v>
      </c>
      <c r="D8" s="71">
        <v>185</v>
      </c>
      <c r="E8" s="71">
        <v>185</v>
      </c>
      <c r="F8" s="165">
        <v>210468</v>
      </c>
      <c r="G8" s="142">
        <v>200</v>
      </c>
      <c r="H8" s="123"/>
    </row>
    <row r="9" spans="1:8" x14ac:dyDescent="0.2">
      <c r="A9" s="8">
        <v>1342</v>
      </c>
      <c r="B9" s="10"/>
      <c r="C9" s="63" t="s">
        <v>143</v>
      </c>
      <c r="D9" s="71">
        <v>400</v>
      </c>
      <c r="E9" s="71">
        <v>400</v>
      </c>
      <c r="F9" s="165">
        <v>927750</v>
      </c>
      <c r="G9" s="142">
        <v>700</v>
      </c>
      <c r="H9" s="123"/>
    </row>
    <row r="10" spans="1:8" x14ac:dyDescent="0.2">
      <c r="A10" s="8">
        <v>1343</v>
      </c>
      <c r="B10" s="10"/>
      <c r="C10" s="63" t="s">
        <v>144</v>
      </c>
      <c r="D10" s="71">
        <v>450</v>
      </c>
      <c r="E10" s="71">
        <v>1550</v>
      </c>
      <c r="F10" s="165">
        <v>1702559</v>
      </c>
      <c r="G10" s="142">
        <v>600</v>
      </c>
      <c r="H10" s="123"/>
    </row>
    <row r="11" spans="1:8" x14ac:dyDescent="0.2">
      <c r="A11" s="8">
        <v>1344</v>
      </c>
      <c r="B11" s="10"/>
      <c r="C11" s="63" t="s">
        <v>145</v>
      </c>
      <c r="D11" s="71">
        <v>0</v>
      </c>
      <c r="E11" s="71">
        <v>0</v>
      </c>
      <c r="F11" s="165">
        <v>19785.2</v>
      </c>
      <c r="G11" s="142">
        <v>10</v>
      </c>
      <c r="H11" s="123"/>
    </row>
    <row r="12" spans="1:8" x14ac:dyDescent="0.2">
      <c r="A12" s="8">
        <v>1361</v>
      </c>
      <c r="B12" s="10"/>
      <c r="C12" s="63" t="s">
        <v>146</v>
      </c>
      <c r="D12" s="71">
        <v>100</v>
      </c>
      <c r="E12" s="71">
        <v>100</v>
      </c>
      <c r="F12" s="165">
        <v>101710</v>
      </c>
      <c r="G12" s="142">
        <v>100</v>
      </c>
      <c r="H12" s="123"/>
    </row>
    <row r="13" spans="1:8" x14ac:dyDescent="0.2">
      <c r="A13" s="8">
        <v>1511</v>
      </c>
      <c r="B13" s="10"/>
      <c r="C13" s="63" t="s">
        <v>147</v>
      </c>
      <c r="D13" s="71">
        <v>16000</v>
      </c>
      <c r="E13" s="71">
        <f>16000+7000</f>
        <v>23000</v>
      </c>
      <c r="F13" s="165">
        <v>30906065.850000001</v>
      </c>
      <c r="G13" s="142">
        <v>26000</v>
      </c>
      <c r="H13" s="123"/>
    </row>
    <row r="14" spans="1:8" s="5" customFormat="1" ht="15.75" x14ac:dyDescent="0.25">
      <c r="A14" s="8"/>
      <c r="B14" s="10"/>
      <c r="C14" s="62" t="s">
        <v>67</v>
      </c>
      <c r="D14" s="72">
        <f>SUM(D8:D13)</f>
        <v>17135</v>
      </c>
      <c r="E14" s="72">
        <f>SUM(E8:E13)</f>
        <v>25235</v>
      </c>
      <c r="F14" s="166">
        <f t="shared" ref="F14" si="0">SUM(F8:F13)</f>
        <v>33868338.050000004</v>
      </c>
      <c r="G14" s="152">
        <f>SUM(G8:G13)</f>
        <v>27610</v>
      </c>
      <c r="H14" s="161">
        <f>G14</f>
        <v>27610</v>
      </c>
    </row>
    <row r="15" spans="1:8" x14ac:dyDescent="0.2">
      <c r="A15" s="8"/>
      <c r="B15" s="10"/>
      <c r="C15" s="63"/>
      <c r="D15" s="71"/>
      <c r="E15" s="71"/>
      <c r="F15" s="167"/>
      <c r="G15" s="142"/>
      <c r="H15" s="123"/>
    </row>
    <row r="16" spans="1:8" ht="15.75" x14ac:dyDescent="0.25">
      <c r="A16" s="8"/>
      <c r="B16" s="10"/>
      <c r="C16" s="62" t="s">
        <v>68</v>
      </c>
      <c r="D16" s="71"/>
      <c r="E16" s="71"/>
      <c r="F16" s="167"/>
      <c r="G16" s="142"/>
      <c r="H16" s="123"/>
    </row>
    <row r="17" spans="1:8" x14ac:dyDescent="0.2">
      <c r="A17" s="8">
        <v>2111</v>
      </c>
      <c r="B17" s="10">
        <v>3314</v>
      </c>
      <c r="C17" s="63" t="s">
        <v>148</v>
      </c>
      <c r="D17" s="71">
        <v>14</v>
      </c>
      <c r="E17" s="71">
        <v>14</v>
      </c>
      <c r="F17" s="165">
        <v>19600</v>
      </c>
      <c r="G17" s="142">
        <v>19</v>
      </c>
      <c r="H17" s="123"/>
    </row>
    <row r="18" spans="1:8" x14ac:dyDescent="0.2">
      <c r="A18" s="8">
        <v>2111</v>
      </c>
      <c r="B18" s="10">
        <v>3319</v>
      </c>
      <c r="C18" s="63" t="s">
        <v>204</v>
      </c>
      <c r="D18" s="71">
        <v>0</v>
      </c>
      <c r="E18" s="71">
        <v>42</v>
      </c>
      <c r="F18" s="165">
        <v>42000</v>
      </c>
      <c r="G18" s="142">
        <v>38</v>
      </c>
      <c r="H18" s="123"/>
    </row>
    <row r="19" spans="1:8" x14ac:dyDescent="0.2">
      <c r="A19" s="8">
        <v>2111</v>
      </c>
      <c r="B19" s="10">
        <v>3632</v>
      </c>
      <c r="C19" s="63" t="s">
        <v>149</v>
      </c>
      <c r="D19" s="71">
        <v>16</v>
      </c>
      <c r="E19" s="71">
        <v>16</v>
      </c>
      <c r="F19" s="165">
        <v>34100</v>
      </c>
      <c r="G19" s="142">
        <v>25</v>
      </c>
      <c r="H19" s="123"/>
    </row>
    <row r="20" spans="1:8" ht="30" x14ac:dyDescent="0.2">
      <c r="A20" s="8">
        <v>2111</v>
      </c>
      <c r="B20" s="10">
        <v>6171</v>
      </c>
      <c r="C20" s="63" t="s">
        <v>150</v>
      </c>
      <c r="D20" s="71">
        <v>2</v>
      </c>
      <c r="E20" s="71">
        <v>2</v>
      </c>
      <c r="F20" s="165">
        <v>0</v>
      </c>
      <c r="G20" s="142">
        <v>2</v>
      </c>
      <c r="H20" s="123"/>
    </row>
    <row r="21" spans="1:8" x14ac:dyDescent="0.2">
      <c r="A21" s="8">
        <v>2112</v>
      </c>
      <c r="B21" s="10">
        <v>3319</v>
      </c>
      <c r="C21" s="63" t="s">
        <v>353</v>
      </c>
      <c r="D21" s="71">
        <v>1.8</v>
      </c>
      <c r="E21" s="71">
        <v>1.8</v>
      </c>
      <c r="F21" s="165">
        <v>299</v>
      </c>
      <c r="G21" s="142">
        <v>20</v>
      </c>
      <c r="H21" s="123"/>
    </row>
    <row r="22" spans="1:8" x14ac:dyDescent="0.2">
      <c r="A22" s="8">
        <v>2139</v>
      </c>
      <c r="B22" s="10">
        <v>3632</v>
      </c>
      <c r="C22" s="63" t="s">
        <v>108</v>
      </c>
      <c r="D22" s="71">
        <v>490</v>
      </c>
      <c r="E22" s="71">
        <v>490</v>
      </c>
      <c r="F22" s="165">
        <v>582517</v>
      </c>
      <c r="G22" s="142">
        <v>500</v>
      </c>
      <c r="H22" s="123"/>
    </row>
    <row r="23" spans="1:8" x14ac:dyDescent="0.2">
      <c r="A23" s="8">
        <v>2141</v>
      </c>
      <c r="B23" s="10">
        <v>6310</v>
      </c>
      <c r="C23" s="63" t="s">
        <v>30</v>
      </c>
      <c r="D23" s="71">
        <v>700</v>
      </c>
      <c r="E23" s="71">
        <f>700+6000</f>
        <v>6700</v>
      </c>
      <c r="F23" s="165">
        <v>7473318.7199999997</v>
      </c>
      <c r="G23" s="142">
        <v>4500</v>
      </c>
      <c r="H23" s="239"/>
    </row>
    <row r="24" spans="1:8" ht="27.75" customHeight="1" x14ac:dyDescent="0.2">
      <c r="A24" s="8">
        <v>2212</v>
      </c>
      <c r="B24" s="10">
        <v>6171</v>
      </c>
      <c r="C24" s="63" t="s">
        <v>151</v>
      </c>
      <c r="D24" s="71">
        <v>50</v>
      </c>
      <c r="E24" s="71">
        <v>50</v>
      </c>
      <c r="F24" s="165">
        <v>24000</v>
      </c>
      <c r="G24" s="142">
        <v>30</v>
      </c>
      <c r="H24" s="123"/>
    </row>
    <row r="25" spans="1:8" ht="21.75" customHeight="1" x14ac:dyDescent="0.2">
      <c r="A25" s="155">
        <v>2229</v>
      </c>
      <c r="B25" s="10"/>
      <c r="C25" s="168" t="s">
        <v>225</v>
      </c>
      <c r="D25" s="71"/>
      <c r="E25" s="71"/>
      <c r="F25" s="165"/>
      <c r="G25" s="142"/>
      <c r="H25" s="123"/>
    </row>
    <row r="26" spans="1:8" ht="17.25" customHeight="1" x14ac:dyDescent="0.2">
      <c r="A26" s="8">
        <v>2229</v>
      </c>
      <c r="B26" s="10">
        <v>3113</v>
      </c>
      <c r="C26" s="63" t="s">
        <v>261</v>
      </c>
      <c r="D26" s="71">
        <v>0</v>
      </c>
      <c r="E26" s="71">
        <v>235</v>
      </c>
      <c r="F26" s="165">
        <v>235000</v>
      </c>
      <c r="G26" s="142">
        <v>0</v>
      </c>
      <c r="H26" s="123"/>
    </row>
    <row r="27" spans="1:8" ht="30" x14ac:dyDescent="0.2">
      <c r="A27" s="8">
        <v>2229</v>
      </c>
      <c r="B27" s="10">
        <v>3113</v>
      </c>
      <c r="C27" s="63" t="s">
        <v>262</v>
      </c>
      <c r="D27" s="71">
        <v>0</v>
      </c>
      <c r="E27" s="71">
        <f>116.8+116.8</f>
        <v>233.6</v>
      </c>
      <c r="F27" s="165">
        <f>116788.12+116788.12</f>
        <v>233576.24</v>
      </c>
      <c r="G27" s="142">
        <v>0</v>
      </c>
      <c r="H27" s="123"/>
    </row>
    <row r="28" spans="1:8" ht="30" x14ac:dyDescent="0.2">
      <c r="A28" s="8">
        <v>2229</v>
      </c>
      <c r="B28" s="10">
        <v>3319</v>
      </c>
      <c r="C28" s="63" t="s">
        <v>264</v>
      </c>
      <c r="D28" s="71">
        <v>0</v>
      </c>
      <c r="E28" s="71">
        <v>7.3</v>
      </c>
      <c r="F28" s="165">
        <v>7350</v>
      </c>
      <c r="G28" s="142">
        <v>0</v>
      </c>
      <c r="H28" s="123"/>
    </row>
    <row r="29" spans="1:8" x14ac:dyDescent="0.2">
      <c r="A29" s="8">
        <v>2321</v>
      </c>
      <c r="B29" s="10">
        <v>3745</v>
      </c>
      <c r="C29" s="63" t="s">
        <v>263</v>
      </c>
      <c r="D29" s="71">
        <v>0</v>
      </c>
      <c r="E29" s="71">
        <v>70</v>
      </c>
      <c r="F29" s="165">
        <v>70000</v>
      </c>
      <c r="G29" s="142">
        <v>0</v>
      </c>
      <c r="H29" s="123"/>
    </row>
    <row r="30" spans="1:8" x14ac:dyDescent="0.2">
      <c r="A30" s="8">
        <v>2322</v>
      </c>
      <c r="B30" s="10">
        <v>6171</v>
      </c>
      <c r="C30" s="63" t="s">
        <v>260</v>
      </c>
      <c r="D30" s="71">
        <v>0</v>
      </c>
      <c r="E30" s="71">
        <v>0</v>
      </c>
      <c r="F30" s="165">
        <v>16420</v>
      </c>
      <c r="G30" s="142">
        <v>0</v>
      </c>
      <c r="H30" s="123"/>
    </row>
    <row r="31" spans="1:8" ht="30" x14ac:dyDescent="0.2">
      <c r="A31" s="8">
        <v>2324</v>
      </c>
      <c r="B31" s="10">
        <v>6171</v>
      </c>
      <c r="C31" s="63" t="s">
        <v>152</v>
      </c>
      <c r="D31" s="71">
        <v>160</v>
      </c>
      <c r="E31" s="71">
        <v>160</v>
      </c>
      <c r="F31" s="165">
        <v>354143.99</v>
      </c>
      <c r="G31" s="142">
        <v>250</v>
      </c>
      <c r="H31" s="123"/>
    </row>
    <row r="32" spans="1:8" ht="15.75" x14ac:dyDescent="0.25">
      <c r="A32" s="8"/>
      <c r="B32" s="10"/>
      <c r="C32" s="62" t="s">
        <v>69</v>
      </c>
      <c r="D32" s="72">
        <f>SUM(D17:D31)</f>
        <v>1433.8</v>
      </c>
      <c r="E32" s="72">
        <f>SUM(E17:E31)</f>
        <v>8021.7000000000007</v>
      </c>
      <c r="F32" s="166">
        <f>SUM(F17:F31)</f>
        <v>9092324.9499999993</v>
      </c>
      <c r="G32" s="143">
        <f>SUM(G17:G31)</f>
        <v>5384</v>
      </c>
      <c r="H32" s="124">
        <f>G32</f>
        <v>5384</v>
      </c>
    </row>
    <row r="33" spans="1:8" s="248" customFormat="1" ht="15.75" x14ac:dyDescent="0.25">
      <c r="A33" s="8"/>
      <c r="B33" s="10"/>
      <c r="C33" s="62"/>
      <c r="D33" s="72"/>
      <c r="E33" s="72"/>
      <c r="F33" s="166"/>
      <c r="G33" s="143"/>
      <c r="H33" s="124"/>
    </row>
    <row r="34" spans="1:8" s="224" customFormat="1" ht="30" x14ac:dyDescent="0.2">
      <c r="A34" s="8">
        <v>3121</v>
      </c>
      <c r="B34" s="10">
        <v>2212</v>
      </c>
      <c r="C34" s="63" t="s">
        <v>334</v>
      </c>
      <c r="D34" s="71">
        <v>0</v>
      </c>
      <c r="E34" s="71">
        <v>0</v>
      </c>
      <c r="F34" s="165">
        <v>0</v>
      </c>
      <c r="G34" s="142">
        <v>3339</v>
      </c>
      <c r="H34" s="123"/>
    </row>
    <row r="35" spans="1:8" s="224" customFormat="1" ht="34.5" customHeight="1" x14ac:dyDescent="0.2">
      <c r="A35" s="8">
        <v>3121</v>
      </c>
      <c r="B35" s="10">
        <v>3111</v>
      </c>
      <c r="C35" s="63" t="s">
        <v>348</v>
      </c>
      <c r="D35" s="71">
        <v>0</v>
      </c>
      <c r="E35" s="71">
        <v>0</v>
      </c>
      <c r="F35" s="165">
        <v>0</v>
      </c>
      <c r="G35" s="142">
        <v>4723.3</v>
      </c>
      <c r="H35" s="123"/>
    </row>
    <row r="36" spans="1:8" s="224" customFormat="1" ht="15.75" x14ac:dyDescent="0.25">
      <c r="A36" s="8"/>
      <c r="B36" s="10"/>
      <c r="C36" s="64" t="s">
        <v>233</v>
      </c>
      <c r="D36" s="72">
        <v>0</v>
      </c>
      <c r="E36" s="72">
        <v>0</v>
      </c>
      <c r="F36" s="169">
        <v>0</v>
      </c>
      <c r="G36" s="143">
        <f>SUM(G34:G35)</f>
        <v>8062.3</v>
      </c>
      <c r="H36" s="124">
        <f>G36</f>
        <v>8062.3</v>
      </c>
    </row>
    <row r="37" spans="1:8" ht="15.75" x14ac:dyDescent="0.25">
      <c r="A37" s="8"/>
      <c r="B37" s="10"/>
      <c r="C37" s="62"/>
      <c r="D37" s="71"/>
      <c r="E37" s="71"/>
      <c r="F37" s="166"/>
      <c r="G37" s="142"/>
      <c r="H37" s="123"/>
    </row>
    <row r="38" spans="1:8" s="9" customFormat="1" ht="15.75" x14ac:dyDescent="0.25">
      <c r="A38" s="8"/>
      <c r="B38" s="10"/>
      <c r="C38" s="64" t="s">
        <v>71</v>
      </c>
      <c r="D38" s="71"/>
      <c r="E38" s="71"/>
      <c r="F38" s="169"/>
      <c r="G38" s="142"/>
      <c r="H38" s="123"/>
    </row>
    <row r="39" spans="1:8" s="9" customFormat="1" ht="30" x14ac:dyDescent="0.2">
      <c r="A39" s="8">
        <v>4131</v>
      </c>
      <c r="B39" s="10">
        <v>6330</v>
      </c>
      <c r="C39" s="63" t="s">
        <v>192</v>
      </c>
      <c r="D39" s="71">
        <v>45000</v>
      </c>
      <c r="E39" s="71">
        <v>45000</v>
      </c>
      <c r="F39" s="165">
        <v>0</v>
      </c>
      <c r="G39" s="142">
        <v>45000</v>
      </c>
      <c r="H39" s="123"/>
    </row>
    <row r="40" spans="1:8" s="9" customFormat="1" ht="30" x14ac:dyDescent="0.2">
      <c r="A40" s="8">
        <v>4131</v>
      </c>
      <c r="B40" s="10">
        <v>6330</v>
      </c>
      <c r="C40" s="63" t="s">
        <v>190</v>
      </c>
      <c r="D40" s="71">
        <v>0</v>
      </c>
      <c r="E40" s="71">
        <v>2500</v>
      </c>
      <c r="F40" s="165">
        <v>2500000</v>
      </c>
      <c r="G40" s="142">
        <v>0</v>
      </c>
      <c r="H40" s="123"/>
    </row>
    <row r="41" spans="1:8" ht="30" x14ac:dyDescent="0.2">
      <c r="A41" s="8">
        <v>4133</v>
      </c>
      <c r="B41" s="10">
        <v>6330</v>
      </c>
      <c r="C41" s="63" t="s">
        <v>136</v>
      </c>
      <c r="D41" s="71">
        <v>3704</v>
      </c>
      <c r="E41" s="71">
        <v>3704</v>
      </c>
      <c r="F41" s="165">
        <v>3361361.28</v>
      </c>
      <c r="G41" s="142">
        <f>'Návrh 2025 výdaje '!G258</f>
        <v>2916</v>
      </c>
      <c r="H41" s="239"/>
    </row>
    <row r="42" spans="1:8" ht="15.75" x14ac:dyDescent="0.25">
      <c r="A42" s="8">
        <v>4134</v>
      </c>
      <c r="B42" s="10">
        <v>6330</v>
      </c>
      <c r="C42" s="63" t="s">
        <v>234</v>
      </c>
      <c r="D42" s="71"/>
      <c r="E42" s="71"/>
      <c r="F42" s="165"/>
      <c r="G42" s="237"/>
      <c r="H42" s="238"/>
    </row>
    <row r="43" spans="1:8" x14ac:dyDescent="0.2">
      <c r="A43" s="8"/>
      <c r="B43" s="10"/>
      <c r="C43" s="63" t="s">
        <v>193</v>
      </c>
      <c r="D43" s="71">
        <v>435</v>
      </c>
      <c r="E43" s="71">
        <v>435</v>
      </c>
      <c r="F43" s="165">
        <v>469640</v>
      </c>
      <c r="G43" s="142">
        <v>490</v>
      </c>
      <c r="H43" s="239"/>
    </row>
    <row r="44" spans="1:8" x14ac:dyDescent="0.2">
      <c r="A44" s="8"/>
      <c r="B44" s="10"/>
      <c r="C44" s="63" t="s">
        <v>58</v>
      </c>
      <c r="D44" s="71">
        <v>0</v>
      </c>
      <c r="E44" s="71">
        <v>2500</v>
      </c>
      <c r="F44" s="165">
        <v>2500000</v>
      </c>
      <c r="G44" s="142">
        <v>0</v>
      </c>
      <c r="H44" s="123"/>
    </row>
    <row r="45" spans="1:8" x14ac:dyDescent="0.2">
      <c r="A45" s="8">
        <v>4139</v>
      </c>
      <c r="B45" s="10">
        <v>6330</v>
      </c>
      <c r="C45" s="63" t="s">
        <v>153</v>
      </c>
      <c r="D45" s="71">
        <v>455</v>
      </c>
      <c r="E45" s="71">
        <v>455</v>
      </c>
      <c r="F45" s="165">
        <v>430400</v>
      </c>
      <c r="G45" s="142">
        <f>34+430+12</f>
        <v>476</v>
      </c>
      <c r="H45" s="239"/>
    </row>
    <row r="46" spans="1:8" ht="30.75" x14ac:dyDescent="0.25">
      <c r="A46" s="27">
        <v>4137</v>
      </c>
      <c r="B46" s="30">
        <v>6330</v>
      </c>
      <c r="C46" s="66" t="s">
        <v>155</v>
      </c>
      <c r="D46" s="71">
        <v>339.2</v>
      </c>
      <c r="E46" s="71">
        <v>339.2</v>
      </c>
      <c r="F46" s="165">
        <v>339200</v>
      </c>
      <c r="G46" s="142">
        <f>339.2-7.8</f>
        <v>331.4</v>
      </c>
      <c r="H46" s="123"/>
    </row>
    <row r="47" spans="1:8" ht="30.75" x14ac:dyDescent="0.25">
      <c r="A47" s="27">
        <v>4137</v>
      </c>
      <c r="B47" s="30">
        <v>6330</v>
      </c>
      <c r="C47" s="66" t="s">
        <v>154</v>
      </c>
      <c r="D47" s="71">
        <v>61593</v>
      </c>
      <c r="E47" s="71">
        <v>61593</v>
      </c>
      <c r="F47" s="165">
        <f>15398000+15398000+15398000+15399000</f>
        <v>61593000</v>
      </c>
      <c r="G47" s="142">
        <v>65133.3</v>
      </c>
      <c r="H47" s="123"/>
    </row>
    <row r="48" spans="1:8" ht="31.5" x14ac:dyDescent="0.25">
      <c r="A48" s="8"/>
      <c r="B48" s="10"/>
      <c r="C48" s="63" t="s">
        <v>191</v>
      </c>
      <c r="D48" s="71"/>
      <c r="E48" s="71"/>
      <c r="F48" s="165"/>
      <c r="G48" s="142"/>
      <c r="H48" s="123"/>
    </row>
    <row r="49" spans="1:8" x14ac:dyDescent="0.2">
      <c r="A49" s="8">
        <v>4137</v>
      </c>
      <c r="B49" s="10">
        <v>6330</v>
      </c>
      <c r="C49" s="63" t="s">
        <v>99</v>
      </c>
      <c r="D49" s="71">
        <v>0</v>
      </c>
      <c r="E49" s="71">
        <v>11.4</v>
      </c>
      <c r="F49" s="165">
        <v>11400</v>
      </c>
      <c r="G49" s="142">
        <v>0</v>
      </c>
      <c r="H49" s="123"/>
    </row>
    <row r="50" spans="1:8" s="222" customFormat="1" x14ac:dyDescent="0.2">
      <c r="A50" s="8">
        <v>4137</v>
      </c>
      <c r="B50" s="10">
        <v>6330</v>
      </c>
      <c r="C50" s="63" t="s">
        <v>267</v>
      </c>
      <c r="D50" s="71">
        <v>0</v>
      </c>
      <c r="E50" s="71">
        <v>308</v>
      </c>
      <c r="F50" s="165">
        <v>308000</v>
      </c>
      <c r="G50" s="142">
        <v>0</v>
      </c>
      <c r="H50" s="123"/>
    </row>
    <row r="51" spans="1:8" ht="30" x14ac:dyDescent="0.2">
      <c r="A51" s="8">
        <v>4137</v>
      </c>
      <c r="B51" s="10">
        <v>6330</v>
      </c>
      <c r="C51" s="63" t="s">
        <v>156</v>
      </c>
      <c r="D51" s="71">
        <v>0</v>
      </c>
      <c r="E51" s="71">
        <f>1148+671</f>
        <v>1819</v>
      </c>
      <c r="F51" s="165">
        <v>1819000</v>
      </c>
      <c r="G51" s="142">
        <v>0</v>
      </c>
      <c r="H51" s="123"/>
    </row>
    <row r="52" spans="1:8" ht="30" customHeight="1" x14ac:dyDescent="0.2">
      <c r="A52" s="8">
        <v>4137</v>
      </c>
      <c r="B52" s="10">
        <v>6330</v>
      </c>
      <c r="C52" s="63" t="s">
        <v>223</v>
      </c>
      <c r="D52" s="71">
        <v>0</v>
      </c>
      <c r="E52" s="71">
        <v>5195.2</v>
      </c>
      <c r="F52" s="165">
        <v>5195200.29</v>
      </c>
      <c r="G52" s="142">
        <v>0</v>
      </c>
      <c r="H52" s="123"/>
    </row>
    <row r="53" spans="1:8" ht="30" x14ac:dyDescent="0.2">
      <c r="A53" s="8">
        <v>4137</v>
      </c>
      <c r="B53" s="10">
        <v>6330</v>
      </c>
      <c r="C53" s="63" t="s">
        <v>218</v>
      </c>
      <c r="D53" s="71">
        <v>0</v>
      </c>
      <c r="E53" s="71">
        <v>2718</v>
      </c>
      <c r="F53" s="165">
        <v>2718000</v>
      </c>
      <c r="G53" s="142">
        <v>0</v>
      </c>
      <c r="H53" s="123"/>
    </row>
    <row r="54" spans="1:8" x14ac:dyDescent="0.2">
      <c r="A54" s="8">
        <v>4137</v>
      </c>
      <c r="B54" s="10">
        <v>6330</v>
      </c>
      <c r="C54" s="63" t="s">
        <v>309</v>
      </c>
      <c r="D54" s="71">
        <v>0</v>
      </c>
      <c r="E54" s="71">
        <v>2958.6</v>
      </c>
      <c r="F54" s="165">
        <v>2958600</v>
      </c>
      <c r="G54" s="142">
        <v>0</v>
      </c>
      <c r="H54" s="123"/>
    </row>
    <row r="55" spans="1:8" x14ac:dyDescent="0.2">
      <c r="A55" s="8">
        <v>4137</v>
      </c>
      <c r="B55" s="10">
        <v>6330</v>
      </c>
      <c r="C55" s="63" t="s">
        <v>265</v>
      </c>
      <c r="D55" s="71">
        <v>0</v>
      </c>
      <c r="E55" s="71">
        <v>98</v>
      </c>
      <c r="F55" s="165">
        <v>98000</v>
      </c>
      <c r="G55" s="142">
        <v>0</v>
      </c>
      <c r="H55" s="123"/>
    </row>
    <row r="56" spans="1:8" x14ac:dyDescent="0.2">
      <c r="A56" s="8">
        <v>4137</v>
      </c>
      <c r="B56" s="10">
        <v>6330</v>
      </c>
      <c r="C56" s="63" t="s">
        <v>266</v>
      </c>
      <c r="D56" s="71">
        <v>0</v>
      </c>
      <c r="E56" s="71">
        <v>10.1</v>
      </c>
      <c r="F56" s="165">
        <v>10100</v>
      </c>
      <c r="G56" s="142">
        <v>0</v>
      </c>
      <c r="H56" s="123"/>
    </row>
    <row r="57" spans="1:8" x14ac:dyDescent="0.2">
      <c r="A57" s="8">
        <v>4137</v>
      </c>
      <c r="B57" s="10">
        <v>6330</v>
      </c>
      <c r="C57" s="63" t="s">
        <v>267</v>
      </c>
      <c r="D57" s="71">
        <v>0</v>
      </c>
      <c r="E57" s="71">
        <v>212</v>
      </c>
      <c r="F57" s="165">
        <v>212000</v>
      </c>
      <c r="G57" s="142">
        <v>0</v>
      </c>
      <c r="H57" s="123"/>
    </row>
    <row r="58" spans="1:8" ht="28.5" customHeight="1" x14ac:dyDescent="0.2">
      <c r="A58" s="8">
        <v>4137</v>
      </c>
      <c r="B58" s="10">
        <v>6330</v>
      </c>
      <c r="C58" s="63" t="s">
        <v>220</v>
      </c>
      <c r="D58" s="71">
        <v>0</v>
      </c>
      <c r="E58" s="71">
        <v>24.4</v>
      </c>
      <c r="F58" s="165">
        <v>24439</v>
      </c>
      <c r="G58" s="142">
        <v>0</v>
      </c>
      <c r="H58" s="123"/>
    </row>
    <row r="59" spans="1:8" s="231" customFormat="1" ht="30" x14ac:dyDescent="0.2">
      <c r="A59" s="8">
        <v>4137</v>
      </c>
      <c r="B59" s="10">
        <v>6330</v>
      </c>
      <c r="C59" s="63" t="s">
        <v>328</v>
      </c>
      <c r="D59" s="71">
        <v>0</v>
      </c>
      <c r="E59" s="71">
        <v>26.6</v>
      </c>
      <c r="F59" s="165">
        <v>26633</v>
      </c>
      <c r="G59" s="142">
        <v>0</v>
      </c>
      <c r="H59" s="123"/>
    </row>
    <row r="60" spans="1:8" x14ac:dyDescent="0.2">
      <c r="A60" s="8">
        <v>4137</v>
      </c>
      <c r="B60" s="10">
        <v>6330</v>
      </c>
      <c r="C60" s="63" t="s">
        <v>228</v>
      </c>
      <c r="D60" s="71">
        <v>0</v>
      </c>
      <c r="E60" s="71">
        <v>354.5</v>
      </c>
      <c r="F60" s="165">
        <v>354500</v>
      </c>
      <c r="G60" s="142">
        <v>0</v>
      </c>
      <c r="H60" s="123"/>
    </row>
    <row r="61" spans="1:8" x14ac:dyDescent="0.2">
      <c r="A61" s="8"/>
      <c r="B61" s="10"/>
      <c r="C61" s="63"/>
      <c r="D61" s="71"/>
      <c r="E61" s="71"/>
      <c r="F61" s="165"/>
      <c r="G61" s="142"/>
      <c r="H61" s="123"/>
    </row>
    <row r="62" spans="1:8" ht="30.75" x14ac:dyDescent="0.25">
      <c r="A62" s="8"/>
      <c r="B62" s="10"/>
      <c r="C62" s="63" t="s">
        <v>157</v>
      </c>
      <c r="D62" s="71"/>
      <c r="E62" s="71"/>
      <c r="F62" s="165"/>
      <c r="G62" s="142"/>
      <c r="H62" s="123"/>
    </row>
    <row r="63" spans="1:8" x14ac:dyDescent="0.2">
      <c r="A63" s="8">
        <v>4251</v>
      </c>
      <c r="B63" s="10">
        <v>6330</v>
      </c>
      <c r="C63" s="98" t="s">
        <v>211</v>
      </c>
      <c r="D63" s="114">
        <v>0</v>
      </c>
      <c r="E63" s="194">
        <v>10000</v>
      </c>
      <c r="F63" s="170">
        <v>10000000</v>
      </c>
      <c r="G63" s="142">
        <v>0</v>
      </c>
      <c r="H63" s="123"/>
    </row>
    <row r="64" spans="1:8" x14ac:dyDescent="0.2">
      <c r="A64" s="8">
        <v>4251</v>
      </c>
      <c r="B64" s="10">
        <v>6330</v>
      </c>
      <c r="C64" s="98" t="s">
        <v>268</v>
      </c>
      <c r="D64" s="114">
        <v>0</v>
      </c>
      <c r="E64" s="194">
        <v>550</v>
      </c>
      <c r="F64" s="170">
        <v>550000</v>
      </c>
      <c r="G64" s="142">
        <v>0</v>
      </c>
      <c r="H64" s="123"/>
    </row>
    <row r="65" spans="1:8" x14ac:dyDescent="0.2">
      <c r="A65" s="8">
        <v>4251</v>
      </c>
      <c r="B65" s="10">
        <v>6330</v>
      </c>
      <c r="C65" s="98" t="s">
        <v>308</v>
      </c>
      <c r="D65" s="114">
        <v>0</v>
      </c>
      <c r="E65" s="194">
        <v>10000</v>
      </c>
      <c r="F65" s="170">
        <v>10000000</v>
      </c>
      <c r="G65" s="142">
        <v>0</v>
      </c>
      <c r="H65" s="123"/>
    </row>
    <row r="66" spans="1:8" s="5" customFormat="1" ht="15.75" x14ac:dyDescent="0.25">
      <c r="A66" s="8"/>
      <c r="B66" s="10"/>
      <c r="C66" s="171" t="s">
        <v>75</v>
      </c>
      <c r="D66" s="72">
        <f>SUM(D39:D65)</f>
        <v>111526.2</v>
      </c>
      <c r="E66" s="72">
        <f>SUM(E39:E65)</f>
        <v>150812</v>
      </c>
      <c r="F66" s="169">
        <f>SUM(F39:F65)</f>
        <v>105479473.57000001</v>
      </c>
      <c r="G66" s="143">
        <f>SUM(G39:G65)</f>
        <v>114346.70000000001</v>
      </c>
      <c r="H66" s="124">
        <f>G66</f>
        <v>114346.70000000001</v>
      </c>
    </row>
    <row r="67" spans="1:8" s="5" customFormat="1" ht="16.5" thickBot="1" x14ac:dyDescent="0.3">
      <c r="A67" s="204"/>
      <c r="B67" s="205"/>
      <c r="C67" s="206"/>
      <c r="D67" s="207"/>
      <c r="E67" s="207"/>
      <c r="F67" s="202"/>
      <c r="G67" s="153"/>
      <c r="H67" s="147"/>
    </row>
    <row r="68" spans="1:8" ht="36" customHeight="1" thickBot="1" x14ac:dyDescent="0.3">
      <c r="A68" s="47"/>
      <c r="B68" s="208"/>
      <c r="C68" s="110" t="s">
        <v>74</v>
      </c>
      <c r="D68" s="85">
        <f>D14+D32+D66</f>
        <v>130095</v>
      </c>
      <c r="E68" s="85">
        <f>E14+E32+E66</f>
        <v>184068.7</v>
      </c>
      <c r="F68" s="23">
        <f>F14+F32+F66</f>
        <v>148440136.56999999</v>
      </c>
      <c r="G68" s="154">
        <f>G14+G32+G66+G36</f>
        <v>155403</v>
      </c>
      <c r="H68" s="241">
        <f>SUM(H8:H66)</f>
        <v>155403</v>
      </c>
    </row>
    <row r="69" spans="1:8" ht="15.75" x14ac:dyDescent="0.25">
      <c r="B69" s="78"/>
      <c r="C69" s="20"/>
      <c r="D69" s="83"/>
      <c r="F69" s="172"/>
      <c r="G69" s="125"/>
      <c r="H69" s="125"/>
    </row>
    <row r="70" spans="1:8" ht="16.5" thickBot="1" x14ac:dyDescent="0.3">
      <c r="B70" s="78"/>
      <c r="C70" s="20" t="s">
        <v>70</v>
      </c>
      <c r="D70" s="100"/>
      <c r="F70" s="173"/>
      <c r="G70" s="145"/>
      <c r="H70" s="145"/>
    </row>
    <row r="71" spans="1:8" x14ac:dyDescent="0.2">
      <c r="A71" s="48">
        <v>4133</v>
      </c>
      <c r="B71" s="107">
        <v>6330</v>
      </c>
      <c r="C71" s="186" t="s">
        <v>102</v>
      </c>
      <c r="D71" s="90">
        <f>D41</f>
        <v>3704</v>
      </c>
      <c r="E71" s="90">
        <f>E41</f>
        <v>3704</v>
      </c>
      <c r="F71" s="174">
        <f>F41</f>
        <v>3361361.28</v>
      </c>
      <c r="G71" s="148">
        <f>G41</f>
        <v>2916</v>
      </c>
      <c r="H71" s="140"/>
    </row>
    <row r="72" spans="1:8" x14ac:dyDescent="0.2">
      <c r="A72" s="8">
        <v>4134</v>
      </c>
      <c r="B72" s="10">
        <v>6330</v>
      </c>
      <c r="C72" s="63" t="s">
        <v>31</v>
      </c>
      <c r="D72" s="71"/>
      <c r="E72" s="71"/>
      <c r="F72" s="165"/>
      <c r="G72" s="142"/>
      <c r="H72" s="123"/>
    </row>
    <row r="73" spans="1:8" x14ac:dyDescent="0.2">
      <c r="A73" s="27"/>
      <c r="B73" s="30"/>
      <c r="C73" s="66" t="s">
        <v>124</v>
      </c>
      <c r="D73" s="71">
        <f t="shared" ref="D73:G75" si="1">D43</f>
        <v>435</v>
      </c>
      <c r="E73" s="71">
        <f t="shared" si="1"/>
        <v>435</v>
      </c>
      <c r="F73" s="165">
        <f t="shared" si="1"/>
        <v>469640</v>
      </c>
      <c r="G73" s="142">
        <f t="shared" si="1"/>
        <v>490</v>
      </c>
      <c r="H73" s="123"/>
    </row>
    <row r="74" spans="1:8" x14ac:dyDescent="0.2">
      <c r="A74" s="27"/>
      <c r="B74" s="30"/>
      <c r="C74" s="66" t="s">
        <v>58</v>
      </c>
      <c r="D74" s="71">
        <f t="shared" si="1"/>
        <v>0</v>
      </c>
      <c r="E74" s="71">
        <f t="shared" si="1"/>
        <v>2500</v>
      </c>
      <c r="F74" s="165">
        <f t="shared" si="1"/>
        <v>2500000</v>
      </c>
      <c r="G74" s="142">
        <f>G44</f>
        <v>0</v>
      </c>
      <c r="H74" s="123"/>
    </row>
    <row r="75" spans="1:8" x14ac:dyDescent="0.2">
      <c r="A75" s="8">
        <v>4139</v>
      </c>
      <c r="B75" s="10">
        <v>6330</v>
      </c>
      <c r="C75" s="63" t="s">
        <v>125</v>
      </c>
      <c r="D75" s="71">
        <f t="shared" si="1"/>
        <v>455</v>
      </c>
      <c r="E75" s="71">
        <f t="shared" si="1"/>
        <v>455</v>
      </c>
      <c r="F75" s="165">
        <f t="shared" si="1"/>
        <v>430400</v>
      </c>
      <c r="G75" s="142">
        <f t="shared" si="1"/>
        <v>476</v>
      </c>
      <c r="H75" s="123"/>
    </row>
    <row r="76" spans="1:8" ht="30" x14ac:dyDescent="0.2">
      <c r="A76" s="8">
        <v>4137</v>
      </c>
      <c r="B76" s="49">
        <v>6330</v>
      </c>
      <c r="C76" s="199" t="s">
        <v>158</v>
      </c>
      <c r="D76" s="71">
        <f>SUM(D46:D60)</f>
        <v>61932.2</v>
      </c>
      <c r="E76" s="71">
        <f>SUM(E46:E60)</f>
        <v>75668.000000000015</v>
      </c>
      <c r="F76" s="165">
        <f>SUM(F46:F60)</f>
        <v>75668072.290000007</v>
      </c>
      <c r="G76" s="142">
        <f>SUM(G46:G60)</f>
        <v>65464.700000000004</v>
      </c>
      <c r="H76" s="123"/>
    </row>
    <row r="77" spans="1:8" x14ac:dyDescent="0.2">
      <c r="A77" s="8">
        <v>4251</v>
      </c>
      <c r="B77" s="10">
        <v>6330</v>
      </c>
      <c r="C77" s="63" t="s">
        <v>121</v>
      </c>
      <c r="D77" s="71">
        <v>0</v>
      </c>
      <c r="E77" s="71">
        <f>SUM(E63:E65)</f>
        <v>20550</v>
      </c>
      <c r="F77" s="165">
        <f>SUM(F63:F65)</f>
        <v>20550000</v>
      </c>
      <c r="G77" s="142">
        <f>SUM(G63:G65)</f>
        <v>0</v>
      </c>
      <c r="H77" s="123"/>
    </row>
    <row r="78" spans="1:8" ht="32.25" thickBot="1" x14ac:dyDescent="0.3">
      <c r="A78" s="108"/>
      <c r="B78" s="109"/>
      <c r="C78" s="187" t="s">
        <v>73</v>
      </c>
      <c r="D78" s="175">
        <f>SUM(D71:D77)</f>
        <v>66526.2</v>
      </c>
      <c r="E78" s="175">
        <f>SUM(E71:E77)</f>
        <v>103312.00000000001</v>
      </c>
      <c r="F78" s="176">
        <f>SUM(F71:F77)</f>
        <v>102979473.57000001</v>
      </c>
      <c r="G78" s="177">
        <f>SUM(G71:G77)</f>
        <v>69346.700000000012</v>
      </c>
      <c r="H78" s="178">
        <f>G78</f>
        <v>69346.700000000012</v>
      </c>
    </row>
    <row r="79" spans="1:8" ht="16.5" thickBot="1" x14ac:dyDescent="0.3">
      <c r="A79" s="46"/>
      <c r="B79" s="46"/>
      <c r="C79" s="70"/>
      <c r="D79" s="193"/>
      <c r="E79" s="193"/>
      <c r="F79" s="203"/>
      <c r="G79" s="71"/>
      <c r="H79" s="71"/>
    </row>
    <row r="80" spans="1:8" ht="36" customHeight="1" thickBot="1" x14ac:dyDescent="0.3">
      <c r="A80" s="47"/>
      <c r="B80" s="22"/>
      <c r="C80" s="188" t="s">
        <v>76</v>
      </c>
      <c r="D80" s="85">
        <f>D68-D78</f>
        <v>63568.800000000003</v>
      </c>
      <c r="E80" s="190">
        <f>E68-E78</f>
        <v>80756.7</v>
      </c>
      <c r="F80" s="23">
        <f>F68-F78</f>
        <v>45460662.999999985</v>
      </c>
      <c r="G80" s="85">
        <f>G68-G78</f>
        <v>86056.299999999988</v>
      </c>
      <c r="H80" s="241">
        <f>H68-H78</f>
        <v>86056.299999999988</v>
      </c>
    </row>
    <row r="81" spans="1:8" ht="16.5" thickBot="1" x14ac:dyDescent="0.3">
      <c r="C81" s="20"/>
      <c r="D81" s="102"/>
      <c r="F81" s="21"/>
      <c r="G81" s="102"/>
      <c r="H81" s="102"/>
    </row>
    <row r="82" spans="1:8" ht="19.5" customHeight="1" thickBot="1" x14ac:dyDescent="0.3">
      <c r="A82" s="17"/>
      <c r="B82" s="22"/>
      <c r="C82" s="189" t="s">
        <v>126</v>
      </c>
      <c r="D82" s="85">
        <f>D76+D77</f>
        <v>61932.2</v>
      </c>
      <c r="E82" s="85">
        <f>E76+E77</f>
        <v>96218.000000000015</v>
      </c>
      <c r="F82" s="23">
        <f>F76+F77</f>
        <v>96218072.290000007</v>
      </c>
      <c r="G82" s="85">
        <f>G76+G77</f>
        <v>65464.700000000004</v>
      </c>
      <c r="H82" s="241">
        <f>G82</f>
        <v>65464.700000000004</v>
      </c>
    </row>
    <row r="83" spans="1:8" ht="16.5" thickBot="1" x14ac:dyDescent="0.3">
      <c r="D83" s="102"/>
      <c r="F83" s="21"/>
      <c r="G83" s="102"/>
      <c r="H83" s="102"/>
    </row>
    <row r="84" spans="1:8" ht="19.5" customHeight="1" thickBot="1" x14ac:dyDescent="0.3">
      <c r="A84" s="18"/>
      <c r="B84" s="19"/>
      <c r="C84" s="111" t="s">
        <v>91</v>
      </c>
      <c r="D84" s="179">
        <f>SUM(D80:D82)</f>
        <v>125501</v>
      </c>
      <c r="E84" s="192">
        <f>SUM(E80:E82)</f>
        <v>176974.7</v>
      </c>
      <c r="F84" s="180">
        <f t="shared" ref="F84" si="2">SUM(F80:F82)</f>
        <v>141678735.28999999</v>
      </c>
      <c r="G84" s="179">
        <f>SUM(G80:G82)</f>
        <v>151521</v>
      </c>
      <c r="H84" s="242">
        <f>SUM(H80:H82)</f>
        <v>151521</v>
      </c>
    </row>
    <row r="85" spans="1:8" s="5" customFormat="1" x14ac:dyDescent="0.2">
      <c r="A85" s="287" t="s">
        <v>382</v>
      </c>
      <c r="B85" s="288"/>
      <c r="C85" s="288"/>
      <c r="D85" s="288"/>
      <c r="E85" s="288"/>
      <c r="F85" s="288"/>
      <c r="G85" s="233"/>
      <c r="H85" s="247"/>
    </row>
    <row r="86" spans="1:8" s="5" customFormat="1" ht="24.75" customHeight="1" x14ac:dyDescent="0.2">
      <c r="A86" s="289"/>
      <c r="B86" s="289"/>
      <c r="C86" s="289"/>
      <c r="D86" s="289"/>
      <c r="E86" s="289"/>
      <c r="F86" s="289"/>
      <c r="G86" s="234"/>
      <c r="H86" s="247"/>
    </row>
    <row r="87" spans="1:8" s="5" customFormat="1" ht="12.75" customHeight="1" x14ac:dyDescent="0.2">
      <c r="A87" s="289"/>
      <c r="B87" s="289"/>
      <c r="C87" s="289"/>
      <c r="D87" s="289"/>
      <c r="E87" s="289"/>
      <c r="F87" s="289"/>
      <c r="G87" s="234"/>
      <c r="H87" s="247"/>
    </row>
    <row r="88" spans="1:8" s="5" customFormat="1" ht="12.75" customHeight="1" x14ac:dyDescent="0.2">
      <c r="A88" s="289"/>
      <c r="B88" s="289"/>
      <c r="C88" s="289"/>
      <c r="D88" s="289"/>
      <c r="E88" s="289"/>
      <c r="F88" s="289"/>
      <c r="G88" s="234"/>
      <c r="H88" s="247"/>
    </row>
    <row r="89" spans="1:8" s="5" customFormat="1" ht="12" customHeight="1" x14ac:dyDescent="0.2">
      <c r="A89" s="289"/>
      <c r="B89" s="289"/>
      <c r="C89" s="289"/>
      <c r="D89" s="289"/>
      <c r="E89" s="289"/>
      <c r="F89" s="289"/>
      <c r="G89" s="234"/>
      <c r="H89" s="247"/>
    </row>
    <row r="90" spans="1:8" s="5" customFormat="1" ht="3.75" hidden="1" customHeight="1" x14ac:dyDescent="0.2">
      <c r="A90" s="289"/>
      <c r="B90" s="289"/>
      <c r="C90" s="289"/>
      <c r="D90" s="289"/>
      <c r="E90" s="289"/>
      <c r="F90" s="289"/>
      <c r="G90" s="234"/>
      <c r="H90" s="247"/>
    </row>
    <row r="91" spans="1:8" s="5" customFormat="1" x14ac:dyDescent="0.2">
      <c r="A91" s="219"/>
      <c r="B91" s="219"/>
      <c r="C91" s="219"/>
      <c r="D91" s="87"/>
      <c r="E91" s="83"/>
      <c r="F91" s="119"/>
      <c r="G91" s="234"/>
      <c r="H91" s="247"/>
    </row>
    <row r="92" spans="1:8" s="5" customFormat="1" x14ac:dyDescent="0.25">
      <c r="A92" s="290" t="s">
        <v>387</v>
      </c>
      <c r="B92" s="281"/>
      <c r="C92" s="281"/>
      <c r="D92" s="281"/>
      <c r="E92" s="281"/>
      <c r="F92" s="281"/>
      <c r="G92" s="282"/>
      <c r="H92" s="282"/>
    </row>
    <row r="93" spans="1:8" ht="15.75" x14ac:dyDescent="0.25">
      <c r="A93" s="95"/>
      <c r="B93" s="95"/>
      <c r="C93" s="290" t="s">
        <v>380</v>
      </c>
      <c r="D93" s="290"/>
      <c r="E93" s="290"/>
      <c r="F93" s="290"/>
      <c r="G93" s="234"/>
    </row>
    <row r="94" spans="1:8" x14ac:dyDescent="0.2">
      <c r="A94" s="95"/>
      <c r="B94" s="95"/>
      <c r="C94" s="285" t="s">
        <v>381</v>
      </c>
      <c r="D94" s="285"/>
      <c r="E94" s="285"/>
      <c r="F94" s="285"/>
      <c r="G94" s="234"/>
    </row>
    <row r="95" spans="1:8" s="9" customFormat="1" ht="15.75" x14ac:dyDescent="0.25">
      <c r="A95" s="95"/>
      <c r="B95" s="95"/>
      <c r="C95" s="286" t="s">
        <v>137</v>
      </c>
      <c r="D95" s="286"/>
      <c r="E95" s="286"/>
      <c r="F95" s="286"/>
      <c r="G95" s="234"/>
      <c r="H95" s="94"/>
    </row>
    <row r="96" spans="1:8" x14ac:dyDescent="0.2">
      <c r="G96" s="234"/>
    </row>
    <row r="97" spans="7:7" x14ac:dyDescent="0.2">
      <c r="G97" s="234"/>
    </row>
    <row r="98" spans="7:7" ht="15.75" x14ac:dyDescent="0.25">
      <c r="G98" s="235"/>
    </row>
    <row r="99" spans="7:7" x14ac:dyDescent="0.2">
      <c r="G99" s="234"/>
    </row>
    <row r="100" spans="7:7" ht="15.75" x14ac:dyDescent="0.25">
      <c r="G100" s="236"/>
    </row>
  </sheetData>
  <mergeCells count="8">
    <mergeCell ref="A1:H1"/>
    <mergeCell ref="A2:H2"/>
    <mergeCell ref="A3:H3"/>
    <mergeCell ref="C94:F94"/>
    <mergeCell ref="C95:F95"/>
    <mergeCell ref="A85:F90"/>
    <mergeCell ref="C93:F93"/>
    <mergeCell ref="A92:H92"/>
  </mergeCells>
  <hyperlinks>
    <hyperlink ref="C94" r:id="rId1" display="http://www.praha-kunratice.cz/"/>
  </hyperlinks>
  <pageMargins left="0.70866141732283472" right="0.70866141732283472" top="0.78740157480314965" bottom="0.78740157480314965" header="0.31496062992125984" footer="0.31496062992125984"/>
  <pageSetup paperSize="9" scale="75" fitToWidth="21" fitToHeight="21" orientation="landscape" r:id="rId2"/>
  <headerFooter>
    <oddFooter>Stránka &amp;P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0"/>
  <sheetViews>
    <sheetView topLeftCell="A40" zoomScale="98" zoomScaleNormal="98" workbookViewId="0">
      <selection activeCell="H6" sqref="H6"/>
    </sheetView>
  </sheetViews>
  <sheetFormatPr defaultRowHeight="15" x14ac:dyDescent="0.2"/>
  <cols>
    <col min="1" max="1" width="10.5703125" style="13" bestFit="1" customWidth="1"/>
    <col min="2" max="2" width="10.140625" style="13" bestFit="1" customWidth="1"/>
    <col min="3" max="3" width="85.28515625" style="12" customWidth="1"/>
    <col min="4" max="5" width="13.7109375" style="86" customWidth="1"/>
    <col min="6" max="6" width="17.28515625" style="11" customWidth="1"/>
    <col min="7" max="7" width="13.7109375" style="83" customWidth="1"/>
    <col min="8" max="8" width="13.7109375" style="94" customWidth="1"/>
    <col min="9" max="10" width="9.140625" style="220"/>
    <col min="11" max="11" width="12.7109375" style="224" bestFit="1" customWidth="1"/>
    <col min="12" max="16384" width="9.140625" style="220"/>
  </cols>
  <sheetData>
    <row r="1" spans="1:11" ht="18" x14ac:dyDescent="0.25">
      <c r="A1" s="280" t="s">
        <v>64</v>
      </c>
      <c r="B1" s="280"/>
      <c r="C1" s="280"/>
      <c r="D1" s="280"/>
      <c r="E1" s="280"/>
      <c r="F1" s="280"/>
      <c r="G1" s="282"/>
      <c r="H1" s="282"/>
    </row>
    <row r="2" spans="1:11" ht="18" x14ac:dyDescent="0.25">
      <c r="A2" s="280" t="s">
        <v>333</v>
      </c>
      <c r="B2" s="280"/>
      <c r="C2" s="280"/>
      <c r="D2" s="280"/>
      <c r="E2" s="280"/>
      <c r="F2" s="280"/>
      <c r="G2" s="282"/>
      <c r="H2" s="282"/>
    </row>
    <row r="3" spans="1:11" ht="18" x14ac:dyDescent="0.25">
      <c r="A3" s="283" t="s">
        <v>383</v>
      </c>
      <c r="B3" s="283"/>
      <c r="C3" s="283"/>
      <c r="D3" s="283"/>
      <c r="E3" s="283"/>
      <c r="F3" s="283"/>
      <c r="G3" s="284"/>
      <c r="H3" s="284"/>
    </row>
    <row r="4" spans="1:11" ht="15.75" thickBot="1" x14ac:dyDescent="0.25">
      <c r="A4" s="24"/>
      <c r="B4" s="24"/>
      <c r="C4" s="14"/>
      <c r="D4" s="84"/>
      <c r="E4" s="84"/>
    </row>
    <row r="5" spans="1:11" s="1" customFormat="1" ht="15.75" x14ac:dyDescent="0.25">
      <c r="A5" s="15" t="s">
        <v>0</v>
      </c>
      <c r="B5" s="16" t="s">
        <v>1</v>
      </c>
      <c r="C5" s="200" t="s">
        <v>32</v>
      </c>
      <c r="D5" s="105" t="s">
        <v>258</v>
      </c>
      <c r="E5" s="105" t="s">
        <v>259</v>
      </c>
      <c r="F5" s="122" t="s">
        <v>101</v>
      </c>
      <c r="G5" s="141" t="s">
        <v>386</v>
      </c>
      <c r="H5" s="249" t="s">
        <v>386</v>
      </c>
      <c r="K5" s="261"/>
    </row>
    <row r="6" spans="1:11" ht="16.5" thickBot="1" x14ac:dyDescent="0.3">
      <c r="A6" s="162"/>
      <c r="B6" s="163"/>
      <c r="C6" s="183" t="s">
        <v>2</v>
      </c>
      <c r="D6" s="185" t="s">
        <v>3</v>
      </c>
      <c r="E6" s="185" t="s">
        <v>3</v>
      </c>
      <c r="F6" s="209" t="s">
        <v>329</v>
      </c>
      <c r="G6" s="250" t="s">
        <v>3</v>
      </c>
      <c r="H6" s="251" t="s">
        <v>3</v>
      </c>
    </row>
    <row r="7" spans="1:11" s="258" customFormat="1" ht="16.5" thickBot="1" x14ac:dyDescent="0.3">
      <c r="A7" s="254">
        <v>2212</v>
      </c>
      <c r="B7" s="255"/>
      <c r="C7" s="259" t="s">
        <v>7</v>
      </c>
      <c r="D7" s="256"/>
      <c r="E7" s="256"/>
      <c r="F7" s="257"/>
      <c r="G7" s="265"/>
      <c r="H7" s="266"/>
      <c r="K7" s="262"/>
    </row>
    <row r="8" spans="1:11" x14ac:dyDescent="0.2">
      <c r="A8" s="48">
        <v>2212</v>
      </c>
      <c r="B8" s="51">
        <v>5021</v>
      </c>
      <c r="C8" s="96" t="s">
        <v>17</v>
      </c>
      <c r="D8" s="71">
        <v>230</v>
      </c>
      <c r="E8" s="71">
        <v>230</v>
      </c>
      <c r="F8" s="165">
        <v>242444</v>
      </c>
      <c r="G8" s="142">
        <v>230</v>
      </c>
      <c r="H8" s="123"/>
    </row>
    <row r="9" spans="1:11" x14ac:dyDescent="0.2">
      <c r="A9" s="52">
        <v>2212</v>
      </c>
      <c r="B9" s="53">
        <v>5031</v>
      </c>
      <c r="C9" s="50" t="s">
        <v>134</v>
      </c>
      <c r="D9" s="71">
        <v>48</v>
      </c>
      <c r="E9" s="71">
        <v>48</v>
      </c>
      <c r="F9" s="165">
        <v>47675</v>
      </c>
      <c r="G9" s="142">
        <v>48</v>
      </c>
      <c r="H9" s="123"/>
    </row>
    <row r="10" spans="1:11" x14ac:dyDescent="0.2">
      <c r="A10" s="52">
        <v>2212</v>
      </c>
      <c r="B10" s="53">
        <v>5032</v>
      </c>
      <c r="C10" s="50" t="s">
        <v>33</v>
      </c>
      <c r="D10" s="71">
        <v>18</v>
      </c>
      <c r="E10" s="71">
        <v>18</v>
      </c>
      <c r="F10" s="165">
        <v>17300</v>
      </c>
      <c r="G10" s="142">
        <v>18</v>
      </c>
      <c r="H10" s="123"/>
    </row>
    <row r="11" spans="1:11" x14ac:dyDescent="0.2">
      <c r="A11" s="52">
        <v>2212</v>
      </c>
      <c r="B11" s="53">
        <v>5132</v>
      </c>
      <c r="C11" s="50" t="s">
        <v>123</v>
      </c>
      <c r="D11" s="71">
        <v>3</v>
      </c>
      <c r="E11" s="71">
        <v>3</v>
      </c>
      <c r="F11" s="165">
        <v>0</v>
      </c>
      <c r="G11" s="142">
        <v>3</v>
      </c>
      <c r="H11" s="123"/>
    </row>
    <row r="12" spans="1:11" x14ac:dyDescent="0.2">
      <c r="A12" s="52">
        <v>2212</v>
      </c>
      <c r="B12" s="53">
        <v>5134</v>
      </c>
      <c r="C12" s="50" t="s">
        <v>161</v>
      </c>
      <c r="D12" s="71">
        <v>5</v>
      </c>
      <c r="E12" s="71">
        <v>5</v>
      </c>
      <c r="F12" s="165">
        <v>5940</v>
      </c>
      <c r="G12" s="142">
        <v>5</v>
      </c>
      <c r="H12" s="123"/>
    </row>
    <row r="13" spans="1:11" ht="30" x14ac:dyDescent="0.2">
      <c r="A13" s="52">
        <v>2212</v>
      </c>
      <c r="B13" s="53">
        <v>5137</v>
      </c>
      <c r="C13" s="50" t="s">
        <v>330</v>
      </c>
      <c r="D13" s="71">
        <v>30</v>
      </c>
      <c r="E13" s="71">
        <f>30-15</f>
        <v>15</v>
      </c>
      <c r="F13" s="165">
        <v>14871</v>
      </c>
      <c r="G13" s="142">
        <v>30</v>
      </c>
      <c r="H13" s="123"/>
    </row>
    <row r="14" spans="1:11" ht="30" x14ac:dyDescent="0.2">
      <c r="A14" s="52">
        <v>2212</v>
      </c>
      <c r="B14" s="53">
        <v>5139</v>
      </c>
      <c r="C14" s="50" t="s">
        <v>105</v>
      </c>
      <c r="D14" s="71">
        <v>100</v>
      </c>
      <c r="E14" s="71">
        <v>100</v>
      </c>
      <c r="F14" s="165">
        <v>28658.42</v>
      </c>
      <c r="G14" s="142">
        <v>100</v>
      </c>
      <c r="H14" s="123"/>
    </row>
    <row r="15" spans="1:11" ht="30" x14ac:dyDescent="0.2">
      <c r="A15" s="52">
        <v>2212</v>
      </c>
      <c r="B15" s="53">
        <v>5154</v>
      </c>
      <c r="C15" s="50" t="s">
        <v>162</v>
      </c>
      <c r="D15" s="71">
        <v>15</v>
      </c>
      <c r="E15" s="71">
        <f>15+20</f>
        <v>35</v>
      </c>
      <c r="F15" s="165">
        <v>34169.440000000002</v>
      </c>
      <c r="G15" s="142">
        <v>35</v>
      </c>
      <c r="H15" s="123"/>
    </row>
    <row r="16" spans="1:11" x14ac:dyDescent="0.2">
      <c r="A16" s="52">
        <v>2212</v>
      </c>
      <c r="B16" s="53">
        <v>5156</v>
      </c>
      <c r="C16" s="50" t="s">
        <v>21</v>
      </c>
      <c r="D16" s="71">
        <v>12</v>
      </c>
      <c r="E16" s="71">
        <v>12</v>
      </c>
      <c r="F16" s="165">
        <v>11134.17</v>
      </c>
      <c r="G16" s="142">
        <v>15</v>
      </c>
      <c r="H16" s="123"/>
    </row>
    <row r="17" spans="1:11" ht="30" x14ac:dyDescent="0.2">
      <c r="A17" s="52">
        <v>2212</v>
      </c>
      <c r="B17" s="53">
        <v>5164</v>
      </c>
      <c r="C17" s="50" t="s">
        <v>194</v>
      </c>
      <c r="D17" s="71">
        <v>5</v>
      </c>
      <c r="E17" s="71">
        <f>5-5</f>
        <v>0</v>
      </c>
      <c r="F17" s="165">
        <v>0</v>
      </c>
      <c r="G17" s="142">
        <v>5</v>
      </c>
      <c r="H17" s="123"/>
    </row>
    <row r="18" spans="1:11" ht="30" x14ac:dyDescent="0.2">
      <c r="A18" s="52">
        <v>2212</v>
      </c>
      <c r="B18" s="53">
        <v>5169</v>
      </c>
      <c r="C18" s="50" t="s">
        <v>100</v>
      </c>
      <c r="D18" s="71">
        <v>1100</v>
      </c>
      <c r="E18" s="71">
        <v>1100</v>
      </c>
      <c r="F18" s="165">
        <f>533078.37+33596</f>
        <v>566674.37</v>
      </c>
      <c r="G18" s="142">
        <v>1100</v>
      </c>
      <c r="H18" s="123"/>
    </row>
    <row r="19" spans="1:11" ht="45" x14ac:dyDescent="0.2">
      <c r="A19" s="52">
        <v>2212</v>
      </c>
      <c r="B19" s="53">
        <v>5169</v>
      </c>
      <c r="C19" s="50" t="s">
        <v>112</v>
      </c>
      <c r="D19" s="71">
        <v>150</v>
      </c>
      <c r="E19" s="71">
        <v>150</v>
      </c>
      <c r="F19" s="165">
        <f>15000+17545+21050+5299.8</f>
        <v>58894.8</v>
      </c>
      <c r="G19" s="142">
        <v>150</v>
      </c>
      <c r="H19" s="123"/>
    </row>
    <row r="20" spans="1:11" ht="105" x14ac:dyDescent="0.2">
      <c r="A20" s="52">
        <v>2212</v>
      </c>
      <c r="B20" s="53">
        <v>5169</v>
      </c>
      <c r="C20" s="50" t="s">
        <v>293</v>
      </c>
      <c r="D20" s="71">
        <v>900</v>
      </c>
      <c r="E20" s="71">
        <v>900</v>
      </c>
      <c r="F20" s="165">
        <f>341487.92+20100.52+3630+9309</f>
        <v>374527.44</v>
      </c>
      <c r="G20" s="142">
        <v>900</v>
      </c>
      <c r="H20" s="123"/>
    </row>
    <row r="21" spans="1:11" ht="45" x14ac:dyDescent="0.2">
      <c r="A21" s="52">
        <v>2212</v>
      </c>
      <c r="B21" s="53">
        <v>5169</v>
      </c>
      <c r="C21" s="50" t="s">
        <v>369</v>
      </c>
      <c r="D21" s="71">
        <v>200</v>
      </c>
      <c r="E21" s="71">
        <v>200</v>
      </c>
      <c r="F21" s="165">
        <f>76683.75+26031.9</f>
        <v>102715.65</v>
      </c>
      <c r="G21" s="142">
        <f>200+200</f>
        <v>400</v>
      </c>
      <c r="H21" s="123"/>
    </row>
    <row r="22" spans="1:11" ht="35.25" customHeight="1" x14ac:dyDescent="0.25">
      <c r="A22" s="54"/>
      <c r="B22" s="55"/>
      <c r="C22" s="215" t="s">
        <v>335</v>
      </c>
      <c r="D22" s="71"/>
      <c r="E22" s="71"/>
      <c r="F22" s="165"/>
      <c r="G22" s="142"/>
      <c r="H22" s="123"/>
    </row>
    <row r="23" spans="1:11" s="248" customFormat="1" ht="18.75" customHeight="1" x14ac:dyDescent="0.25">
      <c r="A23" s="54"/>
      <c r="B23" s="55"/>
      <c r="C23" s="215" t="s">
        <v>339</v>
      </c>
      <c r="D23" s="71"/>
      <c r="E23" s="71"/>
      <c r="F23" s="165"/>
      <c r="G23" s="142"/>
      <c r="H23" s="123"/>
      <c r="K23" s="224"/>
    </row>
    <row r="24" spans="1:11" x14ac:dyDescent="0.2">
      <c r="A24" s="52">
        <v>2212</v>
      </c>
      <c r="B24" s="53">
        <v>5171</v>
      </c>
      <c r="C24" s="50" t="s">
        <v>238</v>
      </c>
      <c r="D24" s="71">
        <v>500</v>
      </c>
      <c r="E24" s="71">
        <v>500</v>
      </c>
      <c r="F24" s="165">
        <f>351293.25+15125</f>
        <v>366418.25</v>
      </c>
      <c r="G24" s="142">
        <v>500</v>
      </c>
      <c r="H24" s="123"/>
    </row>
    <row r="25" spans="1:11" x14ac:dyDescent="0.2">
      <c r="A25" s="52"/>
      <c r="B25" s="53"/>
      <c r="C25" s="50" t="s">
        <v>235</v>
      </c>
      <c r="D25" s="71">
        <v>350</v>
      </c>
      <c r="E25" s="71">
        <v>350</v>
      </c>
      <c r="F25" s="165">
        <f>161788.37+22264+63434.25</f>
        <v>247486.62</v>
      </c>
      <c r="G25" s="142">
        <v>350</v>
      </c>
      <c r="H25" s="123"/>
    </row>
    <row r="26" spans="1:11" ht="30" x14ac:dyDescent="0.2">
      <c r="A26" s="52"/>
      <c r="B26" s="53"/>
      <c r="C26" s="50" t="s">
        <v>197</v>
      </c>
      <c r="D26" s="71">
        <v>200</v>
      </c>
      <c r="E26" s="71">
        <v>200</v>
      </c>
      <c r="F26" s="165">
        <f>19965+6267.8+1694+3327.5+81166.8+91335</f>
        <v>203756.1</v>
      </c>
      <c r="G26" s="142">
        <v>200</v>
      </c>
      <c r="H26" s="123"/>
    </row>
    <row r="27" spans="1:11" x14ac:dyDescent="0.2">
      <c r="A27" s="52"/>
      <c r="B27" s="53"/>
      <c r="C27" s="50" t="s">
        <v>239</v>
      </c>
      <c r="D27" s="71">
        <v>50</v>
      </c>
      <c r="E27" s="71">
        <v>50</v>
      </c>
      <c r="F27" s="165">
        <f>1452+4864.2</f>
        <v>6316.2</v>
      </c>
      <c r="G27" s="142">
        <v>50</v>
      </c>
      <c r="H27" s="123"/>
    </row>
    <row r="28" spans="1:11" ht="31.5" x14ac:dyDescent="0.25">
      <c r="A28" s="54"/>
      <c r="B28" s="55"/>
      <c r="C28" s="126" t="s">
        <v>336</v>
      </c>
      <c r="D28" s="71"/>
      <c r="E28" s="71"/>
      <c r="F28" s="165"/>
      <c r="G28" s="142"/>
      <c r="H28" s="123"/>
    </row>
    <row r="29" spans="1:11" s="248" customFormat="1" ht="15.75" x14ac:dyDescent="0.25">
      <c r="A29" s="54"/>
      <c r="B29" s="55"/>
      <c r="C29" s="126" t="s">
        <v>337</v>
      </c>
      <c r="D29" s="71"/>
      <c r="E29" s="71"/>
      <c r="F29" s="165"/>
      <c r="G29" s="142"/>
      <c r="H29" s="123"/>
      <c r="K29" s="224"/>
    </row>
    <row r="30" spans="1:11" ht="15.75" x14ac:dyDescent="0.25">
      <c r="A30" s="52"/>
      <c r="B30" s="53"/>
      <c r="C30" s="61" t="s">
        <v>159</v>
      </c>
      <c r="D30" s="71"/>
      <c r="E30" s="71"/>
      <c r="F30" s="165"/>
      <c r="G30" s="142"/>
      <c r="H30" s="123"/>
    </row>
    <row r="31" spans="1:11" ht="15.75" x14ac:dyDescent="0.25">
      <c r="A31" s="52">
        <v>2212</v>
      </c>
      <c r="B31" s="53">
        <v>6121</v>
      </c>
      <c r="C31" s="61" t="s">
        <v>96</v>
      </c>
      <c r="D31" s="71"/>
      <c r="E31" s="71"/>
      <c r="F31" s="165"/>
      <c r="G31" s="142"/>
      <c r="H31" s="123"/>
    </row>
    <row r="32" spans="1:11" s="2" customFormat="1" x14ac:dyDescent="0.2">
      <c r="A32" s="52"/>
      <c r="B32" s="53"/>
      <c r="C32" s="76" t="s">
        <v>236</v>
      </c>
      <c r="D32" s="114">
        <v>0</v>
      </c>
      <c r="E32" s="114">
        <v>0</v>
      </c>
      <c r="F32" s="170">
        <v>0</v>
      </c>
      <c r="G32" s="151">
        <v>0</v>
      </c>
      <c r="H32" s="123"/>
      <c r="K32" s="221"/>
    </row>
    <row r="33" spans="1:11" s="2" customFormat="1" x14ac:dyDescent="0.2">
      <c r="A33" s="52"/>
      <c r="B33" s="53"/>
      <c r="C33" s="76" t="s">
        <v>212</v>
      </c>
      <c r="D33" s="114">
        <v>213</v>
      </c>
      <c r="E33" s="114">
        <f>213-63.4</f>
        <v>149.6</v>
      </c>
      <c r="F33" s="170">
        <v>0</v>
      </c>
      <c r="G33" s="151">
        <v>132</v>
      </c>
      <c r="H33" s="123"/>
      <c r="K33" s="221"/>
    </row>
    <row r="34" spans="1:11" s="2" customFormat="1" x14ac:dyDescent="0.2">
      <c r="A34" s="52"/>
      <c r="B34" s="53"/>
      <c r="C34" s="76" t="s">
        <v>213</v>
      </c>
      <c r="D34" s="114">
        <v>0</v>
      </c>
      <c r="E34" s="114">
        <v>212.9</v>
      </c>
      <c r="F34" s="170">
        <f>133100+10000+18150</f>
        <v>161250</v>
      </c>
      <c r="G34" s="151">
        <v>0</v>
      </c>
      <c r="H34" s="123"/>
      <c r="K34" s="221"/>
    </row>
    <row r="35" spans="1:11" s="2" customFormat="1" ht="30" x14ac:dyDescent="0.2">
      <c r="A35" s="52"/>
      <c r="B35" s="53"/>
      <c r="C35" s="76" t="s">
        <v>314</v>
      </c>
      <c r="D35" s="114">
        <v>1035</v>
      </c>
      <c r="E35" s="114">
        <v>1035</v>
      </c>
      <c r="F35" s="170">
        <v>322102</v>
      </c>
      <c r="G35" s="151">
        <v>475</v>
      </c>
      <c r="H35" s="123"/>
      <c r="K35" s="221"/>
    </row>
    <row r="36" spans="1:11" s="2" customFormat="1" ht="15.75" x14ac:dyDescent="0.25">
      <c r="A36" s="52">
        <v>2212</v>
      </c>
      <c r="B36" s="53">
        <v>6121</v>
      </c>
      <c r="C36" s="61" t="s">
        <v>103</v>
      </c>
      <c r="D36" s="71"/>
      <c r="E36" s="71"/>
      <c r="F36" s="165"/>
      <c r="G36" s="142"/>
      <c r="H36" s="123"/>
      <c r="K36" s="221"/>
    </row>
    <row r="37" spans="1:11" s="2" customFormat="1" ht="30" x14ac:dyDescent="0.2">
      <c r="A37" s="52"/>
      <c r="B37" s="53"/>
      <c r="C37" s="76" t="s">
        <v>284</v>
      </c>
      <c r="D37" s="114">
        <v>0</v>
      </c>
      <c r="E37" s="114">
        <v>63.4</v>
      </c>
      <c r="F37" s="170">
        <f>59290+4109.41</f>
        <v>63399.41</v>
      </c>
      <c r="G37" s="142">
        <v>0</v>
      </c>
      <c r="H37" s="123"/>
      <c r="K37" s="221"/>
    </row>
    <row r="38" spans="1:11" s="2" customFormat="1" ht="30" x14ac:dyDescent="0.2">
      <c r="A38" s="52"/>
      <c r="B38" s="53"/>
      <c r="C38" s="76" t="s">
        <v>285</v>
      </c>
      <c r="D38" s="114">
        <v>0</v>
      </c>
      <c r="E38" s="114">
        <v>55.2</v>
      </c>
      <c r="F38" s="170">
        <v>55180.59</v>
      </c>
      <c r="G38" s="142">
        <v>0</v>
      </c>
      <c r="H38" s="123"/>
      <c r="K38" s="221"/>
    </row>
    <row r="39" spans="1:11" s="2" customFormat="1" ht="15.75" x14ac:dyDescent="0.25">
      <c r="A39" s="52">
        <v>2212</v>
      </c>
      <c r="B39" s="53">
        <v>6121</v>
      </c>
      <c r="C39" s="253" t="s">
        <v>338</v>
      </c>
      <c r="D39" s="114"/>
      <c r="E39" s="114"/>
      <c r="F39" s="170"/>
      <c r="G39" s="142"/>
      <c r="H39" s="123"/>
      <c r="K39" s="221"/>
    </row>
    <row r="40" spans="1:11" s="2" customFormat="1" x14ac:dyDescent="0.2">
      <c r="A40" s="52"/>
      <c r="B40" s="53"/>
      <c r="C40" s="76" t="s">
        <v>271</v>
      </c>
      <c r="D40" s="114"/>
      <c r="E40" s="114">
        <v>3200</v>
      </c>
      <c r="F40" s="170">
        <v>2926467.16</v>
      </c>
      <c r="G40" s="142">
        <v>0</v>
      </c>
      <c r="H40" s="123"/>
      <c r="K40" s="221"/>
    </row>
    <row r="41" spans="1:11" s="2" customFormat="1" ht="30" x14ac:dyDescent="0.2">
      <c r="A41" s="52"/>
      <c r="B41" s="53"/>
      <c r="C41" s="76" t="s">
        <v>311</v>
      </c>
      <c r="D41" s="114"/>
      <c r="E41" s="114">
        <v>2000</v>
      </c>
      <c r="F41" s="170">
        <f>114950+205700</f>
        <v>320650</v>
      </c>
      <c r="G41" s="151">
        <v>1822</v>
      </c>
      <c r="H41" s="123"/>
      <c r="K41" s="221"/>
    </row>
    <row r="42" spans="1:11" s="2" customFormat="1" x14ac:dyDescent="0.2">
      <c r="A42" s="52"/>
      <c r="B42" s="53"/>
      <c r="C42" s="76" t="s">
        <v>312</v>
      </c>
      <c r="D42" s="114"/>
      <c r="E42" s="114">
        <v>9000</v>
      </c>
      <c r="F42" s="170">
        <f>42350+42350+3333835.56+3177153.12+63469.17+63469.17+427007.01+427007.01</f>
        <v>7576641.0399999991</v>
      </c>
      <c r="G42" s="151">
        <v>0</v>
      </c>
      <c r="H42" s="123"/>
      <c r="K42" s="221"/>
    </row>
    <row r="43" spans="1:11" s="2" customFormat="1" x14ac:dyDescent="0.2">
      <c r="A43" s="52"/>
      <c r="B43" s="53"/>
      <c r="C43" s="76" t="s">
        <v>315</v>
      </c>
      <c r="D43" s="114"/>
      <c r="E43" s="114">
        <f>1100+12100</f>
        <v>13200</v>
      </c>
      <c r="F43" s="170">
        <f>156090+84700+3373480+3400100</f>
        <v>7014370</v>
      </c>
      <c r="G43" s="151">
        <v>3000</v>
      </c>
      <c r="H43" s="123"/>
      <c r="K43" s="221"/>
    </row>
    <row r="44" spans="1:11" s="2" customFormat="1" x14ac:dyDescent="0.2">
      <c r="A44" s="52"/>
      <c r="B44" s="53"/>
      <c r="C44" s="76" t="s">
        <v>272</v>
      </c>
      <c r="D44" s="114"/>
      <c r="E44" s="114">
        <v>2000</v>
      </c>
      <c r="F44" s="170">
        <f>186340+635250</f>
        <v>821590</v>
      </c>
      <c r="G44" s="151">
        <v>1200</v>
      </c>
      <c r="H44" s="123"/>
      <c r="K44" s="221"/>
    </row>
    <row r="45" spans="1:11" s="2" customFormat="1" ht="15.75" x14ac:dyDescent="0.25">
      <c r="A45" s="52">
        <v>2212</v>
      </c>
      <c r="B45" s="53">
        <v>6121</v>
      </c>
      <c r="C45" s="253" t="s">
        <v>341</v>
      </c>
      <c r="D45" s="114"/>
      <c r="E45" s="114"/>
      <c r="F45" s="170"/>
      <c r="G45" s="151"/>
      <c r="H45" s="123"/>
      <c r="K45" s="221"/>
    </row>
    <row r="46" spans="1:11" s="2" customFormat="1" x14ac:dyDescent="0.2">
      <c r="A46" s="52"/>
      <c r="B46" s="53"/>
      <c r="C46" s="76" t="s">
        <v>342</v>
      </c>
      <c r="D46" s="114"/>
      <c r="E46" s="114"/>
      <c r="F46" s="170"/>
      <c r="G46" s="151">
        <v>12000</v>
      </c>
      <c r="H46" s="123"/>
      <c r="K46" s="221"/>
    </row>
    <row r="47" spans="1:11" s="2" customFormat="1" x14ac:dyDescent="0.2">
      <c r="A47" s="52"/>
      <c r="B47" s="53"/>
      <c r="C47" s="76" t="s">
        <v>343</v>
      </c>
      <c r="D47" s="114"/>
      <c r="E47" s="114"/>
      <c r="F47" s="170"/>
      <c r="G47" s="151">
        <v>2500</v>
      </c>
      <c r="H47" s="123"/>
      <c r="K47" s="221"/>
    </row>
    <row r="48" spans="1:11" s="2" customFormat="1" x14ac:dyDescent="0.2">
      <c r="A48" s="52"/>
      <c r="B48" s="53"/>
      <c r="C48" s="76" t="s">
        <v>344</v>
      </c>
      <c r="D48" s="114"/>
      <c r="E48" s="114"/>
      <c r="F48" s="170"/>
      <c r="G48" s="151">
        <v>650</v>
      </c>
      <c r="H48" s="123"/>
      <c r="K48" s="221"/>
    </row>
    <row r="49" spans="1:11" s="2" customFormat="1" x14ac:dyDescent="0.2">
      <c r="A49" s="52"/>
      <c r="B49" s="53"/>
      <c r="C49" s="76" t="s">
        <v>345</v>
      </c>
      <c r="D49" s="114"/>
      <c r="E49" s="114"/>
      <c r="F49" s="170"/>
      <c r="G49" s="151">
        <v>1160</v>
      </c>
      <c r="H49" s="123"/>
      <c r="K49" s="221"/>
    </row>
    <row r="50" spans="1:11" s="2" customFormat="1" x14ac:dyDescent="0.2">
      <c r="A50" s="52"/>
      <c r="B50" s="53"/>
      <c r="C50" s="76" t="s">
        <v>346</v>
      </c>
      <c r="D50" s="114"/>
      <c r="E50" s="114"/>
      <c r="F50" s="170"/>
      <c r="G50" s="151">
        <v>3000</v>
      </c>
      <c r="H50" s="123"/>
      <c r="K50" s="221"/>
    </row>
    <row r="51" spans="1:11" s="2" customFormat="1" x14ac:dyDescent="0.2">
      <c r="A51" s="52"/>
      <c r="B51" s="53"/>
      <c r="C51" s="76" t="s">
        <v>354</v>
      </c>
      <c r="D51" s="114"/>
      <c r="E51" s="114"/>
      <c r="F51" s="170"/>
      <c r="G51" s="151">
        <v>4000</v>
      </c>
      <c r="H51" s="123"/>
      <c r="K51" s="221"/>
    </row>
    <row r="52" spans="1:11" s="2" customFormat="1" x14ac:dyDescent="0.2">
      <c r="A52" s="52">
        <v>2212</v>
      </c>
      <c r="B52" s="53">
        <v>6901</v>
      </c>
      <c r="C52" s="76" t="s">
        <v>347</v>
      </c>
      <c r="D52" s="114"/>
      <c r="E52" s="114"/>
      <c r="F52" s="170"/>
      <c r="G52" s="151">
        <v>2000</v>
      </c>
      <c r="H52" s="123"/>
      <c r="K52" s="221"/>
    </row>
    <row r="53" spans="1:11" s="2" customFormat="1" ht="18" customHeight="1" x14ac:dyDescent="0.25">
      <c r="A53" s="52"/>
      <c r="B53" s="53"/>
      <c r="C53" s="76" t="s">
        <v>340</v>
      </c>
      <c r="D53" s="114"/>
      <c r="E53" s="114"/>
      <c r="F53" s="170"/>
      <c r="G53" s="151"/>
      <c r="H53" s="123"/>
      <c r="K53" s="221"/>
    </row>
    <row r="54" spans="1:11" s="2" customFormat="1" ht="30" customHeight="1" x14ac:dyDescent="0.2">
      <c r="A54" s="52"/>
      <c r="B54" s="53"/>
      <c r="C54" s="76" t="s">
        <v>372</v>
      </c>
      <c r="D54" s="114"/>
      <c r="E54" s="114"/>
      <c r="F54" s="170"/>
      <c r="G54" s="151"/>
      <c r="H54" s="123"/>
      <c r="K54" s="221"/>
    </row>
    <row r="55" spans="1:11" s="2" customFormat="1" ht="15.75" x14ac:dyDescent="0.25">
      <c r="A55" s="25">
        <v>2212</v>
      </c>
      <c r="B55" s="10"/>
      <c r="C55" s="62" t="s">
        <v>7</v>
      </c>
      <c r="D55" s="68">
        <f>SUM(D8:D54)</f>
        <v>5164</v>
      </c>
      <c r="E55" s="68">
        <f>SUM(E8:E54)</f>
        <v>34832.1</v>
      </c>
      <c r="F55" s="166">
        <f>SUM(F8:F54)</f>
        <v>21590631.66</v>
      </c>
      <c r="G55" s="152">
        <f>SUM(G8:G54)</f>
        <v>36078</v>
      </c>
      <c r="H55" s="124">
        <f>G55</f>
        <v>36078</v>
      </c>
      <c r="K55" s="221"/>
    </row>
    <row r="56" spans="1:11" s="2" customFormat="1" x14ac:dyDescent="0.2">
      <c r="A56" s="8"/>
      <c r="B56" s="10"/>
      <c r="C56" s="63"/>
      <c r="D56" s="71"/>
      <c r="E56" s="71"/>
      <c r="F56" s="165"/>
      <c r="G56" s="142"/>
      <c r="H56" s="123"/>
      <c r="K56" s="221"/>
    </row>
    <row r="57" spans="1:11" s="2" customFormat="1" x14ac:dyDescent="0.2">
      <c r="A57" s="8">
        <v>2310</v>
      </c>
      <c r="B57" s="10">
        <v>5171</v>
      </c>
      <c r="C57" s="63" t="s">
        <v>6</v>
      </c>
      <c r="D57" s="71">
        <v>50</v>
      </c>
      <c r="E57" s="71">
        <v>50</v>
      </c>
      <c r="F57" s="165">
        <v>0</v>
      </c>
      <c r="G57" s="142">
        <v>50</v>
      </c>
      <c r="H57" s="123"/>
      <c r="K57" s="221"/>
    </row>
    <row r="58" spans="1:11" s="2" customFormat="1" ht="15.75" x14ac:dyDescent="0.25">
      <c r="A58" s="25">
        <v>2310</v>
      </c>
      <c r="B58" s="26"/>
      <c r="C58" s="62" t="s">
        <v>8</v>
      </c>
      <c r="D58" s="72">
        <f>SUM(D57)</f>
        <v>50</v>
      </c>
      <c r="E58" s="72">
        <f>SUM(E57)</f>
        <v>50</v>
      </c>
      <c r="F58" s="169">
        <f>SUM(F57:F57)</f>
        <v>0</v>
      </c>
      <c r="G58" s="143">
        <f>SUM(G57)</f>
        <v>50</v>
      </c>
      <c r="H58" s="124">
        <f>G58</f>
        <v>50</v>
      </c>
      <c r="K58" s="221"/>
    </row>
    <row r="59" spans="1:11" s="2" customFormat="1" x14ac:dyDescent="0.2">
      <c r="A59" s="8"/>
      <c r="B59" s="10"/>
      <c r="C59" s="63"/>
      <c r="D59" s="71"/>
      <c r="E59" s="71"/>
      <c r="F59" s="165"/>
      <c r="G59" s="142"/>
      <c r="H59" s="123"/>
      <c r="K59" s="221"/>
    </row>
    <row r="60" spans="1:11" s="2" customFormat="1" x14ac:dyDescent="0.2">
      <c r="A60" s="8">
        <v>2321</v>
      </c>
      <c r="B60" s="10">
        <v>5139</v>
      </c>
      <c r="C60" s="63" t="s">
        <v>4</v>
      </c>
      <c r="D60" s="71">
        <v>2</v>
      </c>
      <c r="E60" s="71">
        <v>2</v>
      </c>
      <c r="F60" s="165">
        <v>0</v>
      </c>
      <c r="G60" s="142">
        <v>2</v>
      </c>
      <c r="H60" s="123"/>
      <c r="K60" s="221"/>
    </row>
    <row r="61" spans="1:11" s="2" customFormat="1" x14ac:dyDescent="0.2">
      <c r="A61" s="8">
        <v>2321</v>
      </c>
      <c r="B61" s="10">
        <v>5169</v>
      </c>
      <c r="C61" s="63" t="s">
        <v>119</v>
      </c>
      <c r="D61" s="71">
        <v>10</v>
      </c>
      <c r="E61" s="71">
        <v>10</v>
      </c>
      <c r="F61" s="165">
        <v>0</v>
      </c>
      <c r="G61" s="142">
        <v>10</v>
      </c>
      <c r="H61" s="123"/>
      <c r="K61" s="221"/>
    </row>
    <row r="62" spans="1:11" x14ac:dyDescent="0.2">
      <c r="A62" s="8">
        <v>2321</v>
      </c>
      <c r="B62" s="10">
        <v>5171</v>
      </c>
      <c r="C62" s="63" t="s">
        <v>113</v>
      </c>
      <c r="D62" s="71">
        <v>50</v>
      </c>
      <c r="E62" s="71">
        <v>50</v>
      </c>
      <c r="F62" s="165">
        <v>0</v>
      </c>
      <c r="G62" s="142">
        <v>50</v>
      </c>
      <c r="H62" s="123"/>
    </row>
    <row r="63" spans="1:11" x14ac:dyDescent="0.2">
      <c r="A63" s="8">
        <v>2321</v>
      </c>
      <c r="B63" s="10">
        <v>6121</v>
      </c>
      <c r="C63" s="76" t="s">
        <v>232</v>
      </c>
      <c r="D63" s="114">
        <v>470</v>
      </c>
      <c r="E63" s="114">
        <v>470</v>
      </c>
      <c r="F63" s="170">
        <f>153000+32130</f>
        <v>185130</v>
      </c>
      <c r="G63" s="151">
        <f>3600+300</f>
        <v>3900</v>
      </c>
      <c r="H63" s="123"/>
    </row>
    <row r="64" spans="1:11" ht="15.75" x14ac:dyDescent="0.25">
      <c r="A64" s="25">
        <v>2321</v>
      </c>
      <c r="B64" s="26"/>
      <c r="C64" s="62" t="s">
        <v>9</v>
      </c>
      <c r="D64" s="72">
        <f>SUM(D60:D63)</f>
        <v>532</v>
      </c>
      <c r="E64" s="72">
        <f>SUM(E60:E63)</f>
        <v>532</v>
      </c>
      <c r="F64" s="166">
        <f>SUM(F60:F63)</f>
        <v>185130</v>
      </c>
      <c r="G64" s="143">
        <f>SUM(G60:G63)</f>
        <v>3962</v>
      </c>
      <c r="H64" s="124">
        <f>G64</f>
        <v>3962</v>
      </c>
    </row>
    <row r="65" spans="1:8" x14ac:dyDescent="0.2">
      <c r="A65" s="8"/>
      <c r="B65" s="10"/>
      <c r="C65" s="63"/>
      <c r="D65" s="71"/>
      <c r="E65" s="71"/>
      <c r="F65" s="165"/>
      <c r="G65" s="142"/>
      <c r="H65" s="123"/>
    </row>
    <row r="66" spans="1:8" x14ac:dyDescent="0.2">
      <c r="A66" s="8">
        <v>2334</v>
      </c>
      <c r="B66" s="49">
        <v>5139</v>
      </c>
      <c r="C66" s="63" t="s">
        <v>4</v>
      </c>
      <c r="D66" s="71">
        <v>5</v>
      </c>
      <c r="E66" s="71">
        <v>5</v>
      </c>
      <c r="F66" s="165">
        <v>0</v>
      </c>
      <c r="G66" s="142">
        <v>5</v>
      </c>
      <c r="H66" s="123"/>
    </row>
    <row r="67" spans="1:8" x14ac:dyDescent="0.2">
      <c r="A67" s="52">
        <v>2334</v>
      </c>
      <c r="B67" s="53">
        <v>5169</v>
      </c>
      <c r="C67" s="60" t="s">
        <v>128</v>
      </c>
      <c r="D67" s="71">
        <v>25</v>
      </c>
      <c r="E67" s="71">
        <v>25</v>
      </c>
      <c r="F67" s="165">
        <v>0</v>
      </c>
      <c r="G67" s="142">
        <v>25</v>
      </c>
      <c r="H67" s="123"/>
    </row>
    <row r="68" spans="1:8" x14ac:dyDescent="0.2">
      <c r="A68" s="52">
        <v>2334</v>
      </c>
      <c r="B68" s="53">
        <v>5171</v>
      </c>
      <c r="C68" s="60" t="s">
        <v>62</v>
      </c>
      <c r="D68" s="71">
        <v>15</v>
      </c>
      <c r="E68" s="71">
        <v>15</v>
      </c>
      <c r="F68" s="165">
        <v>0</v>
      </c>
      <c r="G68" s="142">
        <v>15</v>
      </c>
      <c r="H68" s="123"/>
    </row>
    <row r="69" spans="1:8" ht="30" x14ac:dyDescent="0.2">
      <c r="A69" s="52"/>
      <c r="B69" s="53"/>
      <c r="C69" s="60" t="s">
        <v>129</v>
      </c>
      <c r="D69" s="71">
        <v>100</v>
      </c>
      <c r="E69" s="71">
        <v>100</v>
      </c>
      <c r="F69" s="165">
        <v>66240.240000000005</v>
      </c>
      <c r="G69" s="142">
        <v>100</v>
      </c>
      <c r="H69" s="123"/>
    </row>
    <row r="70" spans="1:8" ht="15.75" x14ac:dyDescent="0.25">
      <c r="A70" s="25">
        <v>2334</v>
      </c>
      <c r="B70" s="26"/>
      <c r="C70" s="62" t="s">
        <v>241</v>
      </c>
      <c r="D70" s="72">
        <f>SUM(D66:D69)</f>
        <v>145</v>
      </c>
      <c r="E70" s="72">
        <f>SUM(E66:E69)</f>
        <v>145</v>
      </c>
      <c r="F70" s="166">
        <f>SUM(F66:F69)</f>
        <v>66240.240000000005</v>
      </c>
      <c r="G70" s="143">
        <f>SUM(G66:G69)</f>
        <v>145</v>
      </c>
      <c r="H70" s="124">
        <f>G70</f>
        <v>145</v>
      </c>
    </row>
    <row r="71" spans="1:8" ht="15.75" x14ac:dyDescent="0.25">
      <c r="A71" s="25"/>
      <c r="B71" s="26"/>
      <c r="C71" s="62"/>
      <c r="D71" s="72"/>
      <c r="E71" s="72"/>
      <c r="F71" s="166"/>
      <c r="G71" s="142"/>
      <c r="H71" s="123"/>
    </row>
    <row r="72" spans="1:8" ht="15.75" x14ac:dyDescent="0.25">
      <c r="A72" s="28">
        <v>3111</v>
      </c>
      <c r="B72" s="10"/>
      <c r="C72" s="64" t="s">
        <v>242</v>
      </c>
      <c r="D72" s="71"/>
      <c r="E72" s="71"/>
      <c r="F72" s="165"/>
      <c r="G72" s="142"/>
      <c r="H72" s="123"/>
    </row>
    <row r="73" spans="1:8" s="224" customFormat="1" x14ac:dyDescent="0.2">
      <c r="A73" s="52">
        <v>3111</v>
      </c>
      <c r="B73" s="53">
        <v>5169</v>
      </c>
      <c r="C73" s="50" t="s">
        <v>37</v>
      </c>
      <c r="D73" s="71">
        <v>0</v>
      </c>
      <c r="E73" s="71">
        <v>0</v>
      </c>
      <c r="F73" s="165">
        <v>0</v>
      </c>
      <c r="G73" s="142">
        <v>40</v>
      </c>
      <c r="H73" s="123"/>
    </row>
    <row r="74" spans="1:8" x14ac:dyDescent="0.2">
      <c r="A74" s="52">
        <v>3111</v>
      </c>
      <c r="B74" s="53">
        <v>5194</v>
      </c>
      <c r="C74" s="50" t="s">
        <v>165</v>
      </c>
      <c r="D74" s="71">
        <v>8</v>
      </c>
      <c r="E74" s="71">
        <v>8</v>
      </c>
      <c r="F74" s="165">
        <v>6000</v>
      </c>
      <c r="G74" s="142">
        <v>8</v>
      </c>
      <c r="H74" s="123"/>
    </row>
    <row r="75" spans="1:8" x14ac:dyDescent="0.2">
      <c r="A75" s="52">
        <v>3111</v>
      </c>
      <c r="B75" s="53">
        <v>5331</v>
      </c>
      <c r="C75" s="50" t="s">
        <v>244</v>
      </c>
      <c r="D75" s="71">
        <v>1900</v>
      </c>
      <c r="E75" s="71">
        <v>1900</v>
      </c>
      <c r="F75" s="165">
        <v>1900000</v>
      </c>
      <c r="G75" s="142">
        <v>1768</v>
      </c>
      <c r="H75" s="123"/>
    </row>
    <row r="76" spans="1:8" ht="30" x14ac:dyDescent="0.2">
      <c r="A76" s="52">
        <v>3111</v>
      </c>
      <c r="B76" s="53">
        <v>5336</v>
      </c>
      <c r="C76" s="50" t="s">
        <v>216</v>
      </c>
      <c r="D76" s="71">
        <v>0</v>
      </c>
      <c r="E76" s="71">
        <v>140</v>
      </c>
      <c r="F76" s="165">
        <v>130567</v>
      </c>
      <c r="G76" s="142">
        <v>147</v>
      </c>
      <c r="H76" s="123"/>
    </row>
    <row r="77" spans="1:8" ht="30" x14ac:dyDescent="0.2">
      <c r="A77" s="52">
        <v>3111</v>
      </c>
      <c r="B77" s="53">
        <v>5336</v>
      </c>
      <c r="C77" s="63" t="s">
        <v>219</v>
      </c>
      <c r="D77" s="71">
        <v>0</v>
      </c>
      <c r="E77" s="71">
        <f>588.4+98.4</f>
        <v>686.8</v>
      </c>
      <c r="F77" s="165">
        <f>588400+98400</f>
        <v>686800</v>
      </c>
      <c r="G77" s="142">
        <v>0</v>
      </c>
      <c r="H77" s="123"/>
    </row>
    <row r="78" spans="1:8" x14ac:dyDescent="0.2">
      <c r="A78" s="52">
        <v>3111</v>
      </c>
      <c r="B78" s="53">
        <v>5336</v>
      </c>
      <c r="C78" s="63" t="s">
        <v>266</v>
      </c>
      <c r="D78" s="71">
        <v>0</v>
      </c>
      <c r="E78" s="71">
        <v>10.1</v>
      </c>
      <c r="F78" s="165">
        <v>10100</v>
      </c>
      <c r="G78" s="142">
        <v>0</v>
      </c>
      <c r="H78" s="123"/>
    </row>
    <row r="79" spans="1:8" ht="30" x14ac:dyDescent="0.2">
      <c r="A79" s="52">
        <v>3111</v>
      </c>
      <c r="B79" s="53">
        <v>5901</v>
      </c>
      <c r="C79" s="50" t="s">
        <v>214</v>
      </c>
      <c r="D79" s="71">
        <v>165</v>
      </c>
      <c r="E79" s="71">
        <f>165-140</f>
        <v>25</v>
      </c>
      <c r="F79" s="165">
        <v>0</v>
      </c>
      <c r="G79" s="142">
        <v>0</v>
      </c>
      <c r="H79" s="123"/>
    </row>
    <row r="80" spans="1:8" ht="15.75" x14ac:dyDescent="0.25">
      <c r="A80" s="52"/>
      <c r="B80" s="53"/>
      <c r="C80" s="89" t="s">
        <v>240</v>
      </c>
      <c r="D80" s="71"/>
      <c r="E80" s="71"/>
      <c r="F80" s="165"/>
      <c r="G80" s="142"/>
      <c r="H80" s="123"/>
    </row>
    <row r="81" spans="1:11" x14ac:dyDescent="0.2">
      <c r="A81" s="52">
        <v>3111</v>
      </c>
      <c r="B81" s="53">
        <v>6121</v>
      </c>
      <c r="C81" s="98" t="s">
        <v>270</v>
      </c>
      <c r="D81" s="114">
        <v>0</v>
      </c>
      <c r="E81" s="114">
        <v>10000</v>
      </c>
      <c r="F81" s="170">
        <v>0</v>
      </c>
      <c r="G81" s="151">
        <v>10000</v>
      </c>
      <c r="H81" s="123"/>
    </row>
    <row r="82" spans="1:11" ht="45" x14ac:dyDescent="0.2">
      <c r="A82" s="52">
        <v>3111</v>
      </c>
      <c r="B82" s="53">
        <v>6121</v>
      </c>
      <c r="C82" s="98" t="s">
        <v>351</v>
      </c>
      <c r="D82" s="114">
        <v>0</v>
      </c>
      <c r="E82" s="114">
        <v>6516.9</v>
      </c>
      <c r="F82" s="170">
        <f>868175+15125+84700+40535+40535+40535+22625+2339137.79+21296+27871+35126+40535+9196+34248.5</f>
        <v>3619640.29</v>
      </c>
      <c r="G82" s="151">
        <v>2900</v>
      </c>
      <c r="H82" s="123"/>
    </row>
    <row r="83" spans="1:11" ht="30" x14ac:dyDescent="0.2">
      <c r="A83" s="52">
        <v>3111</v>
      </c>
      <c r="B83" s="53">
        <v>6121</v>
      </c>
      <c r="C83" s="98" t="s">
        <v>349</v>
      </c>
      <c r="D83" s="114">
        <v>6517</v>
      </c>
      <c r="E83" s="114">
        <f>6517-6517</f>
        <v>0</v>
      </c>
      <c r="F83" s="170">
        <v>0</v>
      </c>
      <c r="G83" s="151">
        <v>8000</v>
      </c>
      <c r="H83" s="123"/>
    </row>
    <row r="84" spans="1:11" ht="15.75" x14ac:dyDescent="0.25">
      <c r="A84" s="25">
        <v>3111</v>
      </c>
      <c r="B84" s="26"/>
      <c r="C84" s="62" t="s">
        <v>65</v>
      </c>
      <c r="D84" s="72">
        <f>SUM(D73:D83)</f>
        <v>8590</v>
      </c>
      <c r="E84" s="72">
        <f>SUM(E73:E83)</f>
        <v>19286.8</v>
      </c>
      <c r="F84" s="166">
        <f>SUM(F73:F83)</f>
        <v>6353107.29</v>
      </c>
      <c r="G84" s="143">
        <f>SUM(G73:G83)</f>
        <v>22863</v>
      </c>
      <c r="H84" s="124">
        <f>G84</f>
        <v>22863</v>
      </c>
    </row>
    <row r="85" spans="1:11" ht="15.75" x14ac:dyDescent="0.25">
      <c r="A85" s="25"/>
      <c r="B85" s="26"/>
      <c r="C85" s="62"/>
      <c r="D85" s="71"/>
      <c r="E85" s="71"/>
      <c r="F85" s="169"/>
      <c r="G85" s="142"/>
      <c r="H85" s="123"/>
    </row>
    <row r="86" spans="1:11" ht="15.75" x14ac:dyDescent="0.25">
      <c r="A86" s="25">
        <v>3113</v>
      </c>
      <c r="B86" s="26"/>
      <c r="C86" s="62" t="s">
        <v>243</v>
      </c>
      <c r="D86" s="71"/>
      <c r="E86" s="71"/>
      <c r="F86" s="169"/>
      <c r="G86" s="142"/>
      <c r="H86" s="123"/>
    </row>
    <row r="87" spans="1:11" s="6" customFormat="1" x14ac:dyDescent="0.2">
      <c r="A87" s="52">
        <v>3113</v>
      </c>
      <c r="B87" s="53">
        <v>5169</v>
      </c>
      <c r="C87" s="50" t="s">
        <v>37</v>
      </c>
      <c r="D87" s="71">
        <v>0</v>
      </c>
      <c r="E87" s="71">
        <v>36</v>
      </c>
      <c r="F87" s="165">
        <v>0</v>
      </c>
      <c r="G87" s="142">
        <v>100</v>
      </c>
      <c r="H87" s="123"/>
      <c r="K87" s="224"/>
    </row>
    <row r="88" spans="1:11" s="6" customFormat="1" x14ac:dyDescent="0.2">
      <c r="A88" s="52">
        <v>3113</v>
      </c>
      <c r="B88" s="53">
        <v>5137</v>
      </c>
      <c r="C88" s="99" t="s">
        <v>376</v>
      </c>
      <c r="D88" s="71"/>
      <c r="E88" s="71"/>
      <c r="F88" s="165"/>
      <c r="G88" s="142">
        <v>4000</v>
      </c>
      <c r="H88" s="123"/>
      <c r="K88" s="224"/>
    </row>
    <row r="89" spans="1:11" s="6" customFormat="1" x14ac:dyDescent="0.2">
      <c r="A89" s="52">
        <v>3113</v>
      </c>
      <c r="B89" s="53">
        <v>5171</v>
      </c>
      <c r="C89" s="50" t="s">
        <v>377</v>
      </c>
      <c r="D89" s="71"/>
      <c r="E89" s="71"/>
      <c r="F89" s="165"/>
      <c r="G89" s="142">
        <v>350</v>
      </c>
      <c r="H89" s="123"/>
      <c r="K89" s="224"/>
    </row>
    <row r="90" spans="1:11" s="6" customFormat="1" x14ac:dyDescent="0.2">
      <c r="A90" s="52">
        <v>3113</v>
      </c>
      <c r="B90" s="53">
        <v>5194</v>
      </c>
      <c r="C90" s="50" t="s">
        <v>319</v>
      </c>
      <c r="D90" s="71">
        <v>60</v>
      </c>
      <c r="E90" s="71">
        <v>60</v>
      </c>
      <c r="F90" s="165">
        <v>56420</v>
      </c>
      <c r="G90" s="142">
        <v>60</v>
      </c>
      <c r="H90" s="123"/>
      <c r="K90" s="224"/>
    </row>
    <row r="91" spans="1:11" s="6" customFormat="1" ht="30" x14ac:dyDescent="0.2">
      <c r="A91" s="52">
        <v>3113</v>
      </c>
      <c r="B91" s="53">
        <v>5331</v>
      </c>
      <c r="C91" s="50" t="s">
        <v>107</v>
      </c>
      <c r="D91" s="71">
        <v>6260</v>
      </c>
      <c r="E91" s="71">
        <v>6260</v>
      </c>
      <c r="F91" s="165">
        <v>6260000</v>
      </c>
      <c r="G91" s="142">
        <v>6550</v>
      </c>
      <c r="H91" s="123"/>
      <c r="K91" s="224"/>
    </row>
    <row r="92" spans="1:11" s="2" customFormat="1" ht="30" x14ac:dyDescent="0.2">
      <c r="A92" s="52">
        <v>3113</v>
      </c>
      <c r="B92" s="53">
        <v>5336</v>
      </c>
      <c r="C92" s="50" t="s">
        <v>215</v>
      </c>
      <c r="D92" s="71">
        <v>0</v>
      </c>
      <c r="E92" s="71">
        <v>366</v>
      </c>
      <c r="F92" s="165">
        <f>82396+48708</f>
        <v>131104</v>
      </c>
      <c r="G92" s="142">
        <v>98</v>
      </c>
      <c r="H92" s="123"/>
      <c r="K92" s="221"/>
    </row>
    <row r="93" spans="1:11" s="2" customFormat="1" ht="30" x14ac:dyDescent="0.2">
      <c r="A93" s="52">
        <v>3113</v>
      </c>
      <c r="B93" s="53">
        <v>5336</v>
      </c>
      <c r="C93" s="63" t="s">
        <v>219</v>
      </c>
      <c r="D93" s="71">
        <v>0</v>
      </c>
      <c r="E93" s="71">
        <f>2129.6+2860.2</f>
        <v>4989.7999999999993</v>
      </c>
      <c r="F93" s="165">
        <f>2129600+2860200</f>
        <v>4989800</v>
      </c>
      <c r="G93" s="142">
        <v>0</v>
      </c>
      <c r="H93" s="123"/>
      <c r="K93" s="221"/>
    </row>
    <row r="94" spans="1:11" s="2" customFormat="1" x14ac:dyDescent="0.2">
      <c r="A94" s="52">
        <v>3113</v>
      </c>
      <c r="B94" s="53">
        <v>5336</v>
      </c>
      <c r="C94" s="63" t="s">
        <v>222</v>
      </c>
      <c r="D94" s="71">
        <v>0</v>
      </c>
      <c r="E94" s="71">
        <v>98</v>
      </c>
      <c r="F94" s="165">
        <v>98000</v>
      </c>
      <c r="G94" s="142">
        <v>0</v>
      </c>
      <c r="H94" s="123"/>
      <c r="K94" s="221"/>
    </row>
    <row r="95" spans="1:11" s="2" customFormat="1" x14ac:dyDescent="0.2">
      <c r="A95" s="52">
        <v>3113</v>
      </c>
      <c r="B95" s="53">
        <v>5336</v>
      </c>
      <c r="C95" s="50" t="s">
        <v>316</v>
      </c>
      <c r="D95" s="71">
        <v>0</v>
      </c>
      <c r="E95" s="71">
        <v>215</v>
      </c>
      <c r="F95" s="165">
        <v>0</v>
      </c>
      <c r="G95" s="142">
        <v>0</v>
      </c>
      <c r="H95" s="123"/>
      <c r="K95" s="221"/>
    </row>
    <row r="96" spans="1:11" s="2" customFormat="1" ht="30" x14ac:dyDescent="0.2">
      <c r="A96" s="52">
        <v>3113</v>
      </c>
      <c r="B96" s="53">
        <v>5901</v>
      </c>
      <c r="C96" s="50" t="s">
        <v>214</v>
      </c>
      <c r="D96" s="71">
        <v>550.6</v>
      </c>
      <c r="E96" s="71">
        <f>550.6-366</f>
        <v>184.60000000000002</v>
      </c>
      <c r="F96" s="165">
        <v>0</v>
      </c>
      <c r="G96" s="142">
        <v>0</v>
      </c>
      <c r="H96" s="123"/>
      <c r="K96" s="221"/>
    </row>
    <row r="97" spans="1:11" s="6" customFormat="1" x14ac:dyDescent="0.2">
      <c r="A97" s="52"/>
      <c r="B97" s="53"/>
      <c r="C97" s="50"/>
      <c r="D97" s="71"/>
      <c r="E97" s="71"/>
      <c r="F97" s="165"/>
      <c r="G97" s="142"/>
      <c r="H97" s="123"/>
      <c r="K97" s="224"/>
    </row>
    <row r="98" spans="1:11" x14ac:dyDescent="0.2">
      <c r="A98" s="52">
        <v>3113</v>
      </c>
      <c r="B98" s="53">
        <v>6122</v>
      </c>
      <c r="C98" s="97" t="s">
        <v>275</v>
      </c>
      <c r="D98" s="114">
        <v>0</v>
      </c>
      <c r="E98" s="114">
        <v>1200</v>
      </c>
      <c r="F98" s="170">
        <v>1180853.28</v>
      </c>
      <c r="G98" s="142">
        <v>0</v>
      </c>
      <c r="H98" s="123"/>
    </row>
    <row r="99" spans="1:11" s="248" customFormat="1" x14ac:dyDescent="0.2">
      <c r="A99" s="52">
        <v>3113</v>
      </c>
      <c r="B99" s="53">
        <v>6122</v>
      </c>
      <c r="C99" s="97" t="s">
        <v>374</v>
      </c>
      <c r="D99" s="114"/>
      <c r="E99" s="114"/>
      <c r="F99" s="170"/>
      <c r="G99" s="151">
        <v>600</v>
      </c>
      <c r="H99" s="123"/>
      <c r="K99" s="224"/>
    </row>
    <row r="100" spans="1:11" s="248" customFormat="1" x14ac:dyDescent="0.2">
      <c r="A100" s="52">
        <v>3113</v>
      </c>
      <c r="B100" s="53">
        <v>6121</v>
      </c>
      <c r="C100" s="97" t="s">
        <v>375</v>
      </c>
      <c r="D100" s="114"/>
      <c r="E100" s="114"/>
      <c r="F100" s="170"/>
      <c r="G100" s="151">
        <v>200</v>
      </c>
      <c r="H100" s="123"/>
      <c r="K100" s="224"/>
    </row>
    <row r="101" spans="1:11" s="258" customFormat="1" x14ac:dyDescent="0.2">
      <c r="A101" s="274"/>
      <c r="B101" s="275"/>
      <c r="C101" s="276"/>
      <c r="D101" s="277"/>
      <c r="E101" s="277"/>
      <c r="F101" s="278"/>
      <c r="G101" s="273"/>
      <c r="H101" s="279"/>
      <c r="K101" s="262"/>
    </row>
    <row r="102" spans="1:11" s="6" customFormat="1" ht="15.75" x14ac:dyDescent="0.25">
      <c r="A102" s="52">
        <v>3113</v>
      </c>
      <c r="B102" s="53">
        <v>6121</v>
      </c>
      <c r="C102" s="89" t="s">
        <v>245</v>
      </c>
      <c r="D102" s="71"/>
      <c r="E102" s="71"/>
      <c r="F102" s="214"/>
      <c r="G102" s="142"/>
      <c r="H102" s="123"/>
      <c r="K102" s="224"/>
    </row>
    <row r="103" spans="1:11" x14ac:dyDescent="0.2">
      <c r="A103" s="52">
        <v>3113</v>
      </c>
      <c r="B103" s="53">
        <v>6121</v>
      </c>
      <c r="C103" s="97" t="s">
        <v>139</v>
      </c>
      <c r="D103" s="71"/>
      <c r="E103" s="71"/>
      <c r="F103" s="165"/>
      <c r="G103" s="142"/>
      <c r="H103" s="123"/>
    </row>
    <row r="104" spans="1:11" x14ac:dyDescent="0.2">
      <c r="A104" s="52"/>
      <c r="B104" s="53"/>
      <c r="C104" s="97" t="s">
        <v>350</v>
      </c>
      <c r="D104" s="114">
        <f>24831.8-320</f>
        <v>24511.8</v>
      </c>
      <c r="E104" s="114">
        <f>24831.8-320-24511.8</f>
        <v>0</v>
      </c>
      <c r="F104" s="170">
        <v>0</v>
      </c>
      <c r="G104" s="151">
        <v>31800</v>
      </c>
      <c r="H104" s="123"/>
    </row>
    <row r="105" spans="1:11" s="6" customFormat="1" x14ac:dyDescent="0.2">
      <c r="A105" s="52"/>
      <c r="B105" s="53"/>
      <c r="C105" s="97" t="s">
        <v>205</v>
      </c>
      <c r="D105" s="114">
        <v>0</v>
      </c>
      <c r="E105" s="114">
        <v>24512.400000000001</v>
      </c>
      <c r="F105" s="170">
        <f>58080+84700+2530110+40000</f>
        <v>2712890</v>
      </c>
      <c r="G105" s="151">
        <v>0</v>
      </c>
      <c r="H105" s="123"/>
      <c r="K105" s="224"/>
    </row>
    <row r="106" spans="1:11" s="6" customFormat="1" x14ac:dyDescent="0.2">
      <c r="A106" s="52"/>
      <c r="B106" s="53"/>
      <c r="C106" s="97" t="s">
        <v>310</v>
      </c>
      <c r="D106" s="114">
        <v>0</v>
      </c>
      <c r="E106" s="114">
        <v>10000</v>
      </c>
      <c r="F106" s="170">
        <v>0</v>
      </c>
      <c r="G106" s="151">
        <v>0</v>
      </c>
      <c r="H106" s="123"/>
      <c r="K106" s="224"/>
    </row>
    <row r="107" spans="1:11" s="6" customFormat="1" ht="15.75" x14ac:dyDescent="0.25">
      <c r="A107" s="28">
        <v>3113</v>
      </c>
      <c r="B107" s="29"/>
      <c r="C107" s="64" t="s">
        <v>57</v>
      </c>
      <c r="D107" s="72">
        <f>SUM(D87:D106)</f>
        <v>31382.400000000001</v>
      </c>
      <c r="E107" s="72">
        <f>SUM(E87:E106)</f>
        <v>47921.8</v>
      </c>
      <c r="F107" s="166">
        <f>SUM(F87:F106)</f>
        <v>15429067.279999999</v>
      </c>
      <c r="G107" s="143">
        <f>SUM(G87:G106)</f>
        <v>43758</v>
      </c>
      <c r="H107" s="124">
        <f>G107</f>
        <v>43758</v>
      </c>
      <c r="K107" s="224"/>
    </row>
    <row r="108" spans="1:11" ht="15.75" x14ac:dyDescent="0.25">
      <c r="A108" s="25"/>
      <c r="B108" s="26"/>
      <c r="C108" s="62"/>
      <c r="D108" s="71"/>
      <c r="E108" s="71"/>
      <c r="F108" s="165"/>
      <c r="G108" s="142"/>
      <c r="H108" s="123"/>
    </row>
    <row r="109" spans="1:11" x14ac:dyDescent="0.2">
      <c r="A109" s="27">
        <v>3314</v>
      </c>
      <c r="B109" s="56">
        <v>5011</v>
      </c>
      <c r="C109" s="59" t="s">
        <v>14</v>
      </c>
      <c r="D109" s="71">
        <v>510</v>
      </c>
      <c r="E109" s="71">
        <v>510</v>
      </c>
      <c r="F109" s="165">
        <v>516577</v>
      </c>
      <c r="G109" s="142">
        <v>550</v>
      </c>
      <c r="H109" s="123"/>
    </row>
    <row r="110" spans="1:11" s="2" customFormat="1" x14ac:dyDescent="0.2">
      <c r="A110" s="57">
        <v>3314</v>
      </c>
      <c r="B110" s="58">
        <v>5021</v>
      </c>
      <c r="C110" s="99" t="s">
        <v>17</v>
      </c>
      <c r="D110" s="71">
        <v>30</v>
      </c>
      <c r="E110" s="71">
        <v>30</v>
      </c>
      <c r="F110" s="165">
        <v>17325</v>
      </c>
      <c r="G110" s="142">
        <v>30</v>
      </c>
      <c r="H110" s="123"/>
      <c r="K110" s="221"/>
    </row>
    <row r="111" spans="1:11" s="2" customFormat="1" x14ac:dyDescent="0.2">
      <c r="A111" s="57">
        <v>3314</v>
      </c>
      <c r="B111" s="58">
        <v>5031</v>
      </c>
      <c r="C111" s="50" t="s">
        <v>134</v>
      </c>
      <c r="D111" s="71">
        <v>127</v>
      </c>
      <c r="E111" s="71">
        <v>127</v>
      </c>
      <c r="F111" s="165">
        <v>128118</v>
      </c>
      <c r="G111" s="142">
        <v>136</v>
      </c>
      <c r="H111" s="123"/>
      <c r="K111" s="221"/>
    </row>
    <row r="112" spans="1:11" s="2" customFormat="1" x14ac:dyDescent="0.2">
      <c r="A112" s="57">
        <v>3314</v>
      </c>
      <c r="B112" s="58">
        <v>5032</v>
      </c>
      <c r="C112" s="99" t="s">
        <v>33</v>
      </c>
      <c r="D112" s="71">
        <v>47</v>
      </c>
      <c r="E112" s="71">
        <v>47</v>
      </c>
      <c r="F112" s="165">
        <v>46495</v>
      </c>
      <c r="G112" s="142">
        <v>50</v>
      </c>
      <c r="H112" s="123"/>
      <c r="K112" s="221"/>
    </row>
    <row r="113" spans="1:11" s="2" customFormat="1" x14ac:dyDescent="0.2">
      <c r="A113" s="57">
        <v>3314</v>
      </c>
      <c r="B113" s="58">
        <v>5136</v>
      </c>
      <c r="C113" s="50" t="s">
        <v>172</v>
      </c>
      <c r="D113" s="71">
        <v>90</v>
      </c>
      <c r="E113" s="71">
        <v>90</v>
      </c>
      <c r="F113" s="165">
        <f>85701+4177</f>
        <v>89878</v>
      </c>
      <c r="G113" s="142">
        <v>90</v>
      </c>
      <c r="H113" s="123"/>
      <c r="K113" s="221"/>
    </row>
    <row r="114" spans="1:11" s="2" customFormat="1" x14ac:dyDescent="0.2">
      <c r="A114" s="57"/>
      <c r="B114" s="58"/>
      <c r="C114" s="99" t="s">
        <v>173</v>
      </c>
      <c r="D114" s="71">
        <v>0</v>
      </c>
      <c r="E114" s="71">
        <v>11.4</v>
      </c>
      <c r="F114" s="165">
        <v>11400</v>
      </c>
      <c r="G114" s="142">
        <v>0</v>
      </c>
      <c r="H114" s="123"/>
      <c r="K114" s="221"/>
    </row>
    <row r="115" spans="1:11" s="2" customFormat="1" x14ac:dyDescent="0.2">
      <c r="A115" s="57">
        <v>3314</v>
      </c>
      <c r="B115" s="58">
        <v>5137</v>
      </c>
      <c r="C115" s="99" t="s">
        <v>35</v>
      </c>
      <c r="D115" s="71">
        <v>15</v>
      </c>
      <c r="E115" s="71">
        <v>15</v>
      </c>
      <c r="F115" s="165">
        <v>4239</v>
      </c>
      <c r="G115" s="142">
        <v>15</v>
      </c>
      <c r="H115" s="123"/>
      <c r="K115" s="221"/>
    </row>
    <row r="116" spans="1:11" s="2" customFormat="1" x14ac:dyDescent="0.2">
      <c r="A116" s="52">
        <v>3314</v>
      </c>
      <c r="B116" s="53">
        <v>5139</v>
      </c>
      <c r="C116" s="50" t="s">
        <v>104</v>
      </c>
      <c r="D116" s="71">
        <v>8</v>
      </c>
      <c r="E116" s="71">
        <v>8</v>
      </c>
      <c r="F116" s="165">
        <v>0</v>
      </c>
      <c r="G116" s="142">
        <v>8</v>
      </c>
      <c r="H116" s="123"/>
      <c r="K116" s="221"/>
    </row>
    <row r="117" spans="1:11" s="2" customFormat="1" x14ac:dyDescent="0.2">
      <c r="A117" s="52">
        <v>3314</v>
      </c>
      <c r="B117" s="53">
        <v>5151</v>
      </c>
      <c r="C117" s="50" t="s">
        <v>10</v>
      </c>
      <c r="D117" s="71">
        <v>18</v>
      </c>
      <c r="E117" s="71">
        <v>18</v>
      </c>
      <c r="F117" s="165">
        <v>15135</v>
      </c>
      <c r="G117" s="142">
        <v>18</v>
      </c>
      <c r="H117" s="123"/>
      <c r="K117" s="221"/>
    </row>
    <row r="118" spans="1:11" s="2" customFormat="1" x14ac:dyDescent="0.2">
      <c r="A118" s="52">
        <v>3314</v>
      </c>
      <c r="B118" s="53">
        <v>5153</v>
      </c>
      <c r="C118" s="50" t="s">
        <v>117</v>
      </c>
      <c r="D118" s="71">
        <v>180</v>
      </c>
      <c r="E118" s="71">
        <v>180</v>
      </c>
      <c r="F118" s="165">
        <v>106500</v>
      </c>
      <c r="G118" s="142">
        <v>180</v>
      </c>
      <c r="H118" s="123"/>
      <c r="K118" s="221"/>
    </row>
    <row r="119" spans="1:11" s="2" customFormat="1" x14ac:dyDescent="0.2">
      <c r="A119" s="52">
        <v>3314</v>
      </c>
      <c r="B119" s="53">
        <v>5154</v>
      </c>
      <c r="C119" s="50" t="s">
        <v>12</v>
      </c>
      <c r="D119" s="71">
        <v>50</v>
      </c>
      <c r="E119" s="71">
        <v>50</v>
      </c>
      <c r="F119" s="165">
        <v>57364</v>
      </c>
      <c r="G119" s="142">
        <v>58</v>
      </c>
      <c r="H119" s="123"/>
      <c r="K119" s="221"/>
    </row>
    <row r="120" spans="1:11" s="2" customFormat="1" x14ac:dyDescent="0.2">
      <c r="A120" s="52">
        <v>3314</v>
      </c>
      <c r="B120" s="53">
        <v>5162</v>
      </c>
      <c r="C120" s="50" t="s">
        <v>98</v>
      </c>
      <c r="D120" s="71">
        <v>12</v>
      </c>
      <c r="E120" s="71">
        <v>12</v>
      </c>
      <c r="F120" s="165">
        <v>9384.07</v>
      </c>
      <c r="G120" s="142">
        <v>12</v>
      </c>
      <c r="H120" s="123"/>
      <c r="K120" s="221"/>
    </row>
    <row r="121" spans="1:11" s="2" customFormat="1" x14ac:dyDescent="0.2">
      <c r="A121" s="52">
        <v>3314</v>
      </c>
      <c r="B121" s="53">
        <v>5168</v>
      </c>
      <c r="C121" s="50" t="s">
        <v>72</v>
      </c>
      <c r="D121" s="71">
        <v>20</v>
      </c>
      <c r="E121" s="71">
        <v>20</v>
      </c>
      <c r="F121" s="165">
        <v>8750</v>
      </c>
      <c r="G121" s="142">
        <v>17</v>
      </c>
      <c r="H121" s="123"/>
      <c r="K121" s="221"/>
    </row>
    <row r="122" spans="1:11" s="2" customFormat="1" ht="30" x14ac:dyDescent="0.2">
      <c r="A122" s="52">
        <v>3314</v>
      </c>
      <c r="B122" s="53">
        <v>5169</v>
      </c>
      <c r="C122" s="50" t="s">
        <v>273</v>
      </c>
      <c r="D122" s="71">
        <v>75</v>
      </c>
      <c r="E122" s="71">
        <v>75</v>
      </c>
      <c r="F122" s="165">
        <v>12644.5</v>
      </c>
      <c r="G122" s="142">
        <v>35</v>
      </c>
      <c r="H122" s="123"/>
      <c r="K122" s="221"/>
    </row>
    <row r="123" spans="1:11" s="2" customFormat="1" x14ac:dyDescent="0.2">
      <c r="A123" s="52">
        <v>3314</v>
      </c>
      <c r="B123" s="53">
        <v>5171</v>
      </c>
      <c r="C123" s="50" t="s">
        <v>352</v>
      </c>
      <c r="D123" s="71">
        <v>270</v>
      </c>
      <c r="E123" s="71">
        <f>270-120</f>
        <v>150</v>
      </c>
      <c r="F123" s="165">
        <v>58806</v>
      </c>
      <c r="G123" s="142">
        <v>55</v>
      </c>
      <c r="H123" s="123"/>
      <c r="K123" s="221"/>
    </row>
    <row r="124" spans="1:11" s="6" customFormat="1" x14ac:dyDescent="0.2">
      <c r="A124" s="52">
        <v>3314</v>
      </c>
      <c r="B124" s="53">
        <v>6121</v>
      </c>
      <c r="C124" s="97" t="s">
        <v>313</v>
      </c>
      <c r="D124" s="114">
        <v>0</v>
      </c>
      <c r="E124" s="114">
        <v>120</v>
      </c>
      <c r="F124" s="170">
        <v>118580</v>
      </c>
      <c r="G124" s="151">
        <v>2000</v>
      </c>
      <c r="H124" s="123"/>
      <c r="K124" s="224"/>
    </row>
    <row r="125" spans="1:11" s="3" customFormat="1" ht="15.75" x14ac:dyDescent="0.25">
      <c r="A125" s="25">
        <v>3314</v>
      </c>
      <c r="B125" s="26"/>
      <c r="C125" s="62" t="s">
        <v>15</v>
      </c>
      <c r="D125" s="72">
        <f>SUM(D109:D124)</f>
        <v>1452</v>
      </c>
      <c r="E125" s="72">
        <f>SUM(E109:E124)</f>
        <v>1463.4</v>
      </c>
      <c r="F125" s="166">
        <f>SUM(F109:F124)</f>
        <v>1201195.5699999998</v>
      </c>
      <c r="G125" s="143">
        <f>SUM(G109:G124)</f>
        <v>3254</v>
      </c>
      <c r="H125" s="124">
        <f>G125</f>
        <v>3254</v>
      </c>
      <c r="K125" s="224"/>
    </row>
    <row r="126" spans="1:11" s="3" customFormat="1" ht="15.75" x14ac:dyDescent="0.25">
      <c r="A126" s="25"/>
      <c r="B126" s="26"/>
      <c r="C126" s="63"/>
      <c r="D126" s="71"/>
      <c r="E126" s="71"/>
      <c r="F126" s="166"/>
      <c r="G126" s="142"/>
      <c r="H126" s="123"/>
      <c r="K126" s="224"/>
    </row>
    <row r="127" spans="1:11" s="2" customFormat="1" x14ac:dyDescent="0.2">
      <c r="A127" s="8">
        <v>3319</v>
      </c>
      <c r="B127" s="49">
        <v>5021</v>
      </c>
      <c r="C127" s="67" t="s">
        <v>17</v>
      </c>
      <c r="D127" s="71">
        <v>80</v>
      </c>
      <c r="E127" s="71">
        <v>80</v>
      </c>
      <c r="F127" s="165">
        <v>39422</v>
      </c>
      <c r="G127" s="142">
        <v>80</v>
      </c>
      <c r="H127" s="123"/>
      <c r="K127" s="221"/>
    </row>
    <row r="128" spans="1:11" s="2" customFormat="1" x14ac:dyDescent="0.2">
      <c r="A128" s="52">
        <v>3319</v>
      </c>
      <c r="B128" s="53">
        <v>5041</v>
      </c>
      <c r="C128" s="50" t="s">
        <v>86</v>
      </c>
      <c r="D128" s="71">
        <v>6</v>
      </c>
      <c r="E128" s="71">
        <v>6</v>
      </c>
      <c r="F128" s="165">
        <v>4472.3999999999996</v>
      </c>
      <c r="G128" s="142">
        <v>6</v>
      </c>
      <c r="H128" s="123"/>
      <c r="K128" s="221"/>
    </row>
    <row r="129" spans="1:11" s="2" customFormat="1" x14ac:dyDescent="0.2">
      <c r="A129" s="52">
        <v>3319</v>
      </c>
      <c r="B129" s="53">
        <v>5136</v>
      </c>
      <c r="C129" s="50" t="s">
        <v>385</v>
      </c>
      <c r="D129" s="71">
        <v>0</v>
      </c>
      <c r="E129" s="71">
        <v>0</v>
      </c>
      <c r="F129" s="165">
        <v>0</v>
      </c>
      <c r="G129" s="142">
        <v>40</v>
      </c>
      <c r="H129" s="123"/>
      <c r="K129" s="221"/>
    </row>
    <row r="130" spans="1:11" s="2" customFormat="1" x14ac:dyDescent="0.2">
      <c r="A130" s="52">
        <v>3319</v>
      </c>
      <c r="B130" s="53">
        <v>5137</v>
      </c>
      <c r="C130" s="50" t="s">
        <v>36</v>
      </c>
      <c r="D130" s="71">
        <v>15</v>
      </c>
      <c r="E130" s="71">
        <v>15</v>
      </c>
      <c r="F130" s="165">
        <v>0</v>
      </c>
      <c r="G130" s="142">
        <v>55</v>
      </c>
      <c r="H130" s="123"/>
      <c r="K130" s="221"/>
    </row>
    <row r="131" spans="1:11" s="2" customFormat="1" x14ac:dyDescent="0.2">
      <c r="A131" s="52">
        <v>3319</v>
      </c>
      <c r="B131" s="53">
        <v>5139</v>
      </c>
      <c r="C131" s="50" t="s">
        <v>115</v>
      </c>
      <c r="D131" s="71">
        <v>20</v>
      </c>
      <c r="E131" s="71">
        <f>20+10-5</f>
        <v>25</v>
      </c>
      <c r="F131" s="165">
        <v>14546</v>
      </c>
      <c r="G131" s="142">
        <f>25+5</f>
        <v>30</v>
      </c>
      <c r="H131" s="123"/>
      <c r="K131" s="221"/>
    </row>
    <row r="132" spans="1:11" s="2" customFormat="1" x14ac:dyDescent="0.2">
      <c r="A132" s="52">
        <v>3319</v>
      </c>
      <c r="B132" s="53">
        <v>5169</v>
      </c>
      <c r="C132" s="50" t="s">
        <v>183</v>
      </c>
      <c r="D132" s="71">
        <v>950</v>
      </c>
      <c r="E132" s="71">
        <f>950+29.3+110+109-119</f>
        <v>1079.3</v>
      </c>
      <c r="F132" s="165">
        <f>1177733.47-130000-38160</f>
        <v>1009573.47</v>
      </c>
      <c r="G132" s="142">
        <v>1110</v>
      </c>
      <c r="H132" s="123"/>
      <c r="K132" s="221"/>
    </row>
    <row r="133" spans="1:11" s="2" customFormat="1" x14ac:dyDescent="0.2">
      <c r="A133" s="52">
        <v>3319</v>
      </c>
      <c r="B133" s="53">
        <v>5169</v>
      </c>
      <c r="C133" s="50" t="s">
        <v>163</v>
      </c>
      <c r="D133" s="71">
        <v>130</v>
      </c>
      <c r="E133" s="71">
        <v>130</v>
      </c>
      <c r="F133" s="165">
        <v>130000</v>
      </c>
      <c r="G133" s="142">
        <v>130</v>
      </c>
      <c r="H133" s="123"/>
      <c r="K133" s="221"/>
    </row>
    <row r="134" spans="1:11" s="2" customFormat="1" x14ac:dyDescent="0.2">
      <c r="A134" s="52">
        <v>3319</v>
      </c>
      <c r="B134" s="53">
        <v>5169</v>
      </c>
      <c r="C134" s="50" t="s">
        <v>116</v>
      </c>
      <c r="D134" s="71">
        <v>60</v>
      </c>
      <c r="E134" s="71">
        <v>60</v>
      </c>
      <c r="F134" s="165">
        <f>18240+19920</f>
        <v>38160</v>
      </c>
      <c r="G134" s="142">
        <v>60</v>
      </c>
      <c r="H134" s="123"/>
      <c r="K134" s="221"/>
    </row>
    <row r="135" spans="1:11" s="2" customFormat="1" x14ac:dyDescent="0.2">
      <c r="A135" s="52">
        <v>3319</v>
      </c>
      <c r="B135" s="53">
        <v>5169</v>
      </c>
      <c r="C135" s="50" t="s">
        <v>226</v>
      </c>
      <c r="D135" s="71">
        <v>110</v>
      </c>
      <c r="E135" s="71">
        <v>110</v>
      </c>
      <c r="F135" s="165">
        <v>0</v>
      </c>
      <c r="G135" s="142">
        <v>200</v>
      </c>
      <c r="H135" s="123"/>
      <c r="K135" s="221"/>
    </row>
    <row r="136" spans="1:11" s="2" customFormat="1" x14ac:dyDescent="0.2">
      <c r="A136" s="52">
        <v>3319</v>
      </c>
      <c r="B136" s="53">
        <v>5175</v>
      </c>
      <c r="C136" s="50" t="s">
        <v>13</v>
      </c>
      <c r="D136" s="71">
        <v>10</v>
      </c>
      <c r="E136" s="71">
        <v>10</v>
      </c>
      <c r="F136" s="165">
        <v>7089</v>
      </c>
      <c r="G136" s="142">
        <f>10+5</f>
        <v>15</v>
      </c>
      <c r="H136" s="123"/>
      <c r="K136" s="221"/>
    </row>
    <row r="137" spans="1:11" s="2" customFormat="1" ht="30" x14ac:dyDescent="0.2">
      <c r="A137" s="52">
        <v>3319</v>
      </c>
      <c r="B137" s="53">
        <v>5194</v>
      </c>
      <c r="C137" s="50" t="s">
        <v>195</v>
      </c>
      <c r="D137" s="71">
        <v>30</v>
      </c>
      <c r="E137" s="71">
        <f>30+10+10</f>
        <v>50</v>
      </c>
      <c r="F137" s="165">
        <v>50705</v>
      </c>
      <c r="G137" s="142">
        <v>50</v>
      </c>
      <c r="H137" s="123"/>
      <c r="K137" s="221"/>
    </row>
    <row r="138" spans="1:11" s="2" customFormat="1" x14ac:dyDescent="0.2">
      <c r="A138" s="52">
        <v>3319</v>
      </c>
      <c r="B138" s="53">
        <v>5222</v>
      </c>
      <c r="C138" s="50" t="s">
        <v>138</v>
      </c>
      <c r="D138" s="71">
        <v>30</v>
      </c>
      <c r="E138" s="71">
        <f>30-20</f>
        <v>10</v>
      </c>
      <c r="F138" s="165">
        <v>0</v>
      </c>
      <c r="G138" s="142">
        <v>0</v>
      </c>
      <c r="H138" s="123"/>
      <c r="K138" s="221"/>
    </row>
    <row r="139" spans="1:11" s="2" customFormat="1" x14ac:dyDescent="0.2">
      <c r="A139" s="52">
        <v>3319</v>
      </c>
      <c r="B139" s="53">
        <v>5222</v>
      </c>
      <c r="C139" s="50" t="s">
        <v>217</v>
      </c>
      <c r="D139" s="71">
        <v>0</v>
      </c>
      <c r="E139" s="71">
        <v>20</v>
      </c>
      <c r="F139" s="165">
        <v>20000</v>
      </c>
      <c r="G139" s="142">
        <v>20</v>
      </c>
      <c r="H139" s="123"/>
      <c r="K139" s="221"/>
    </row>
    <row r="140" spans="1:11" s="2" customFormat="1" ht="30" x14ac:dyDescent="0.2">
      <c r="A140" s="52">
        <v>3319</v>
      </c>
      <c r="B140" s="53">
        <v>5339</v>
      </c>
      <c r="C140" s="50" t="s">
        <v>294</v>
      </c>
      <c r="D140" s="71">
        <v>10</v>
      </c>
      <c r="E140" s="71">
        <v>10</v>
      </c>
      <c r="F140" s="165">
        <v>10000</v>
      </c>
      <c r="G140" s="142">
        <v>10</v>
      </c>
      <c r="H140" s="123"/>
      <c r="K140" s="221"/>
    </row>
    <row r="141" spans="1:11" s="2" customFormat="1" x14ac:dyDescent="0.2">
      <c r="A141" s="52">
        <v>3319</v>
      </c>
      <c r="B141" s="53">
        <v>5492</v>
      </c>
      <c r="C141" s="50" t="s">
        <v>182</v>
      </c>
      <c r="D141" s="71">
        <v>15</v>
      </c>
      <c r="E141" s="71">
        <f>15+5</f>
        <v>20</v>
      </c>
      <c r="F141" s="165">
        <v>20000</v>
      </c>
      <c r="G141" s="142">
        <v>20</v>
      </c>
      <c r="H141" s="123"/>
      <c r="K141" s="221"/>
    </row>
    <row r="142" spans="1:11" s="2" customFormat="1" x14ac:dyDescent="0.2">
      <c r="A142" s="52">
        <v>3319</v>
      </c>
      <c r="B142" s="53">
        <v>5499</v>
      </c>
      <c r="C142" s="50" t="s">
        <v>257</v>
      </c>
      <c r="D142" s="71">
        <v>330</v>
      </c>
      <c r="E142" s="71">
        <v>330</v>
      </c>
      <c r="F142" s="165">
        <v>265120</v>
      </c>
      <c r="G142" s="142">
        <v>350</v>
      </c>
      <c r="H142" s="123"/>
      <c r="K142" s="221"/>
    </row>
    <row r="143" spans="1:11" s="3" customFormat="1" ht="15.75" x14ac:dyDescent="0.25">
      <c r="A143" s="25">
        <v>3319</v>
      </c>
      <c r="B143" s="26"/>
      <c r="C143" s="62" t="s">
        <v>16</v>
      </c>
      <c r="D143" s="72">
        <f>SUM(D127:D142)</f>
        <v>1796</v>
      </c>
      <c r="E143" s="72">
        <f>SUM(E127:E142)</f>
        <v>1955.3</v>
      </c>
      <c r="F143" s="166">
        <f>SUM(F127:F142)</f>
        <v>1609087.8699999999</v>
      </c>
      <c r="G143" s="143">
        <f>SUM(G127:G142)</f>
        <v>2176</v>
      </c>
      <c r="H143" s="124">
        <f>G143</f>
        <v>2176</v>
      </c>
      <c r="K143" s="224"/>
    </row>
    <row r="144" spans="1:11" x14ac:dyDescent="0.2">
      <c r="A144" s="8"/>
      <c r="B144" s="10"/>
      <c r="C144" s="63"/>
      <c r="D144" s="71"/>
      <c r="E144" s="71"/>
      <c r="F144" s="165"/>
      <c r="G144" s="142"/>
      <c r="H144" s="123"/>
    </row>
    <row r="145" spans="1:11" ht="30" x14ac:dyDescent="0.2">
      <c r="A145" s="8">
        <v>3322</v>
      </c>
      <c r="B145" s="10">
        <v>5171</v>
      </c>
      <c r="C145" s="63" t="s">
        <v>246</v>
      </c>
      <c r="D145" s="71">
        <v>100</v>
      </c>
      <c r="E145" s="71">
        <v>100</v>
      </c>
      <c r="F145" s="165">
        <v>17569.2</v>
      </c>
      <c r="G145" s="142">
        <v>200</v>
      </c>
      <c r="H145" s="123"/>
    </row>
    <row r="146" spans="1:11" x14ac:dyDescent="0.2">
      <c r="A146" s="8">
        <v>3322</v>
      </c>
      <c r="B146" s="10">
        <v>5362</v>
      </c>
      <c r="C146" s="50" t="s">
        <v>291</v>
      </c>
      <c r="D146" s="71">
        <v>0</v>
      </c>
      <c r="E146" s="71">
        <v>0</v>
      </c>
      <c r="F146" s="165">
        <v>2300</v>
      </c>
      <c r="G146" s="142">
        <v>0</v>
      </c>
      <c r="H146" s="123"/>
    </row>
    <row r="147" spans="1:11" x14ac:dyDescent="0.2">
      <c r="A147" s="8">
        <v>3322</v>
      </c>
      <c r="B147" s="10">
        <v>6121</v>
      </c>
      <c r="C147" s="97" t="s">
        <v>247</v>
      </c>
      <c r="D147" s="114">
        <v>100</v>
      </c>
      <c r="E147" s="114">
        <v>100</v>
      </c>
      <c r="F147" s="170">
        <v>67680</v>
      </c>
      <c r="G147" s="273">
        <v>0</v>
      </c>
      <c r="H147" s="123"/>
    </row>
    <row r="148" spans="1:11" ht="15.75" x14ac:dyDescent="0.25">
      <c r="A148" s="25">
        <v>3322</v>
      </c>
      <c r="B148" s="10"/>
      <c r="C148" s="62" t="s">
        <v>252</v>
      </c>
      <c r="D148" s="72">
        <f>SUM(D145:D147)</f>
        <v>200</v>
      </c>
      <c r="E148" s="72">
        <f>SUM(E145:E147)</f>
        <v>200</v>
      </c>
      <c r="F148" s="166">
        <f>SUM(F145:F147)</f>
        <v>87549.2</v>
      </c>
      <c r="G148" s="143">
        <f>SUM(G145:G147)</f>
        <v>200</v>
      </c>
      <c r="H148" s="124">
        <f>G148</f>
        <v>200</v>
      </c>
    </row>
    <row r="149" spans="1:11" s="223" customFormat="1" ht="15.75" x14ac:dyDescent="0.25">
      <c r="A149" s="25"/>
      <c r="B149" s="10"/>
      <c r="C149" s="62"/>
      <c r="D149" s="72"/>
      <c r="E149" s="72"/>
      <c r="F149" s="166"/>
      <c r="G149" s="143"/>
      <c r="H149" s="123"/>
      <c r="K149" s="224"/>
    </row>
    <row r="150" spans="1:11" s="224" customFormat="1" x14ac:dyDescent="0.2">
      <c r="A150" s="8">
        <v>3330</v>
      </c>
      <c r="B150" s="10">
        <v>5223</v>
      </c>
      <c r="C150" s="63" t="s">
        <v>323</v>
      </c>
      <c r="D150" s="71">
        <v>0</v>
      </c>
      <c r="E150" s="71">
        <v>200</v>
      </c>
      <c r="F150" s="165">
        <v>200000</v>
      </c>
      <c r="G150" s="142">
        <v>0</v>
      </c>
      <c r="H150" s="123"/>
    </row>
    <row r="151" spans="1:11" s="223" customFormat="1" ht="31.5" x14ac:dyDescent="0.25">
      <c r="A151" s="25">
        <v>3330</v>
      </c>
      <c r="B151" s="10"/>
      <c r="C151" s="62" t="s">
        <v>324</v>
      </c>
      <c r="D151" s="72">
        <f>SUM(D150)</f>
        <v>0</v>
      </c>
      <c r="E151" s="72">
        <f t="shared" ref="E151:F151" si="0">SUM(E150)</f>
        <v>200</v>
      </c>
      <c r="F151" s="264">
        <f t="shared" si="0"/>
        <v>200000</v>
      </c>
      <c r="G151" s="143">
        <v>0</v>
      </c>
      <c r="H151" s="124">
        <f>G151</f>
        <v>0</v>
      </c>
      <c r="K151" s="224"/>
    </row>
    <row r="152" spans="1:11" ht="15.75" x14ac:dyDescent="0.25">
      <c r="A152" s="25"/>
      <c r="B152" s="10"/>
      <c r="C152" s="62"/>
      <c r="D152" s="72"/>
      <c r="E152" s="72"/>
      <c r="F152" s="166"/>
      <c r="G152" s="142"/>
      <c r="H152" s="123"/>
    </row>
    <row r="153" spans="1:11" s="6" customFormat="1" x14ac:dyDescent="0.2">
      <c r="A153" s="8">
        <v>3412</v>
      </c>
      <c r="B153" s="49">
        <v>5229</v>
      </c>
      <c r="C153" s="67" t="s">
        <v>185</v>
      </c>
      <c r="D153" s="71">
        <v>300</v>
      </c>
      <c r="E153" s="71">
        <v>300</v>
      </c>
      <c r="F153" s="165">
        <v>300000</v>
      </c>
      <c r="G153" s="142">
        <v>300</v>
      </c>
      <c r="H153" s="123"/>
      <c r="K153" s="224"/>
    </row>
    <row r="154" spans="1:11" s="6" customFormat="1" x14ac:dyDescent="0.2">
      <c r="A154" s="52">
        <v>3412</v>
      </c>
      <c r="B154" s="53">
        <v>6121</v>
      </c>
      <c r="C154" s="97" t="s">
        <v>368</v>
      </c>
      <c r="D154" s="114">
        <v>64000</v>
      </c>
      <c r="E154" s="114">
        <v>64000</v>
      </c>
      <c r="F154" s="170">
        <v>48959589.859999999</v>
      </c>
      <c r="G154" s="151">
        <v>17000</v>
      </c>
      <c r="H154" s="123"/>
      <c r="K154" s="224"/>
    </row>
    <row r="155" spans="1:11" s="4" customFormat="1" ht="15.75" x14ac:dyDescent="0.25">
      <c r="A155" s="28">
        <v>3412</v>
      </c>
      <c r="B155" s="29"/>
      <c r="C155" s="64" t="s">
        <v>54</v>
      </c>
      <c r="D155" s="72">
        <f>SUM(D153:D154)</f>
        <v>64300</v>
      </c>
      <c r="E155" s="72">
        <f>SUM(E153:E154)</f>
        <v>64300</v>
      </c>
      <c r="F155" s="169">
        <f>SUM(F153:F154)</f>
        <v>49259589.859999999</v>
      </c>
      <c r="G155" s="143">
        <f>SUM(G153:G154)</f>
        <v>17300</v>
      </c>
      <c r="H155" s="124">
        <f>G155</f>
        <v>17300</v>
      </c>
      <c r="K155" s="224"/>
    </row>
    <row r="156" spans="1:11" s="6" customFormat="1" x14ac:dyDescent="0.2">
      <c r="A156" s="8"/>
      <c r="B156" s="10"/>
      <c r="C156" s="63"/>
      <c r="D156" s="71"/>
      <c r="E156" s="71"/>
      <c r="F156" s="165"/>
      <c r="G156" s="142"/>
      <c r="H156" s="123"/>
      <c r="K156" s="224"/>
    </row>
    <row r="157" spans="1:11" s="6" customFormat="1" x14ac:dyDescent="0.2">
      <c r="A157" s="8">
        <v>3419</v>
      </c>
      <c r="B157" s="49">
        <v>5222</v>
      </c>
      <c r="C157" s="67" t="s">
        <v>373</v>
      </c>
      <c r="D157" s="71">
        <v>240</v>
      </c>
      <c r="E157" s="71">
        <v>240</v>
      </c>
      <c r="F157" s="165">
        <f>10000+200000</f>
        <v>210000</v>
      </c>
      <c r="G157" s="142">
        <v>240</v>
      </c>
      <c r="H157" s="123"/>
      <c r="K157" s="224"/>
    </row>
    <row r="158" spans="1:11" s="6" customFormat="1" x14ac:dyDescent="0.2">
      <c r="A158" s="52">
        <v>3419</v>
      </c>
      <c r="B158" s="53">
        <v>5229</v>
      </c>
      <c r="C158" s="50" t="s">
        <v>295</v>
      </c>
      <c r="D158" s="71">
        <v>200</v>
      </c>
      <c r="E158" s="71">
        <v>200</v>
      </c>
      <c r="F158" s="165">
        <v>200000</v>
      </c>
      <c r="G158" s="142">
        <v>200</v>
      </c>
      <c r="H158" s="123"/>
      <c r="K158" s="224"/>
    </row>
    <row r="159" spans="1:11" s="6" customFormat="1" ht="30" x14ac:dyDescent="0.2">
      <c r="A159" s="52">
        <v>3419</v>
      </c>
      <c r="B159" s="53">
        <v>5339</v>
      </c>
      <c r="C159" s="50" t="s">
        <v>296</v>
      </c>
      <c r="D159" s="71">
        <v>20</v>
      </c>
      <c r="E159" s="71">
        <v>20</v>
      </c>
      <c r="F159" s="165">
        <v>20000</v>
      </c>
      <c r="G159" s="142">
        <v>20</v>
      </c>
      <c r="H159" s="123"/>
      <c r="K159" s="224"/>
    </row>
    <row r="160" spans="1:11" s="4" customFormat="1" ht="15.75" x14ac:dyDescent="0.25">
      <c r="A160" s="28">
        <v>3419</v>
      </c>
      <c r="B160" s="29"/>
      <c r="C160" s="64" t="s">
        <v>130</v>
      </c>
      <c r="D160" s="72">
        <f>SUM(D157:D159)</f>
        <v>460</v>
      </c>
      <c r="E160" s="72">
        <f>SUM(E157:E159)</f>
        <v>460</v>
      </c>
      <c r="F160" s="169">
        <f>SUM(F157:F159)</f>
        <v>430000</v>
      </c>
      <c r="G160" s="143">
        <f>SUM(G157:G159)</f>
        <v>460</v>
      </c>
      <c r="H160" s="124">
        <f>G160</f>
        <v>460</v>
      </c>
      <c r="K160" s="224"/>
    </row>
    <row r="161" spans="1:11" s="6" customFormat="1" x14ac:dyDescent="0.2">
      <c r="A161" s="8"/>
      <c r="B161" s="10"/>
      <c r="C161" s="63"/>
      <c r="D161" s="71"/>
      <c r="E161" s="71"/>
      <c r="F161" s="165"/>
      <c r="G161" s="142"/>
      <c r="H161" s="123"/>
      <c r="K161" s="224"/>
    </row>
    <row r="162" spans="1:11" s="6" customFormat="1" x14ac:dyDescent="0.2">
      <c r="A162" s="52">
        <v>3421</v>
      </c>
      <c r="B162" s="53">
        <v>5137</v>
      </c>
      <c r="C162" s="50" t="s">
        <v>206</v>
      </c>
      <c r="D162" s="71">
        <v>50</v>
      </c>
      <c r="E162" s="71">
        <v>50</v>
      </c>
      <c r="F162" s="165">
        <v>0</v>
      </c>
      <c r="G162" s="142">
        <v>50</v>
      </c>
      <c r="H162" s="123"/>
      <c r="K162" s="224"/>
    </row>
    <row r="163" spans="1:11" s="6" customFormat="1" x14ac:dyDescent="0.2">
      <c r="A163" s="52">
        <v>3421</v>
      </c>
      <c r="B163" s="53">
        <v>5139</v>
      </c>
      <c r="C163" s="50" t="s">
        <v>4</v>
      </c>
      <c r="D163" s="71">
        <v>10</v>
      </c>
      <c r="E163" s="71">
        <v>10</v>
      </c>
      <c r="F163" s="165">
        <v>0</v>
      </c>
      <c r="G163" s="142">
        <v>10</v>
      </c>
      <c r="H163" s="123"/>
      <c r="K163" s="224"/>
    </row>
    <row r="164" spans="1:11" s="6" customFormat="1" x14ac:dyDescent="0.2">
      <c r="A164" s="52">
        <v>3421</v>
      </c>
      <c r="B164" s="53">
        <v>5164</v>
      </c>
      <c r="C164" s="50" t="s">
        <v>277</v>
      </c>
      <c r="D164" s="71">
        <v>0</v>
      </c>
      <c r="E164" s="71">
        <v>16</v>
      </c>
      <c r="F164" s="165">
        <v>19304.34</v>
      </c>
      <c r="G164" s="142">
        <v>80</v>
      </c>
      <c r="H164" s="123"/>
      <c r="K164" s="224"/>
    </row>
    <row r="165" spans="1:11" s="6" customFormat="1" x14ac:dyDescent="0.2">
      <c r="A165" s="52">
        <v>3421</v>
      </c>
      <c r="B165" s="53">
        <v>5169</v>
      </c>
      <c r="C165" s="50" t="s">
        <v>198</v>
      </c>
      <c r="D165" s="71">
        <v>65</v>
      </c>
      <c r="E165" s="71">
        <v>65</v>
      </c>
      <c r="F165" s="165">
        <f>7018+49005</f>
        <v>56023</v>
      </c>
      <c r="G165" s="142">
        <v>65</v>
      </c>
      <c r="H165" s="123"/>
      <c r="K165" s="224"/>
    </row>
    <row r="166" spans="1:11" s="6" customFormat="1" ht="30" x14ac:dyDescent="0.2">
      <c r="A166" s="52">
        <v>3421</v>
      </c>
      <c r="B166" s="53">
        <v>5171</v>
      </c>
      <c r="C166" s="50" t="s">
        <v>298</v>
      </c>
      <c r="D166" s="71">
        <v>100</v>
      </c>
      <c r="E166" s="71">
        <f>100+300</f>
        <v>400</v>
      </c>
      <c r="F166" s="165">
        <v>192022.55</v>
      </c>
      <c r="G166" s="142">
        <v>250</v>
      </c>
      <c r="H166" s="123"/>
      <c r="K166" s="224"/>
    </row>
    <row r="167" spans="1:11" s="6" customFormat="1" x14ac:dyDescent="0.2">
      <c r="A167" s="52">
        <v>3421</v>
      </c>
      <c r="B167" s="53">
        <v>5229</v>
      </c>
      <c r="C167" s="50" t="s">
        <v>297</v>
      </c>
      <c r="D167" s="71">
        <v>20</v>
      </c>
      <c r="E167" s="71">
        <v>20</v>
      </c>
      <c r="F167" s="165">
        <v>20000</v>
      </c>
      <c r="G167" s="142">
        <v>20</v>
      </c>
      <c r="H167" s="123"/>
      <c r="K167" s="224"/>
    </row>
    <row r="168" spans="1:11" s="6" customFormat="1" x14ac:dyDescent="0.2">
      <c r="A168" s="52">
        <v>3421</v>
      </c>
      <c r="B168" s="53">
        <v>6121</v>
      </c>
      <c r="C168" s="97" t="s">
        <v>355</v>
      </c>
      <c r="D168" s="114">
        <v>0</v>
      </c>
      <c r="E168" s="114">
        <v>200</v>
      </c>
      <c r="F168" s="170">
        <v>50000</v>
      </c>
      <c r="G168" s="114">
        <v>3000</v>
      </c>
      <c r="H168" s="123"/>
      <c r="K168" s="224"/>
    </row>
    <row r="169" spans="1:11" s="6" customFormat="1" ht="60" x14ac:dyDescent="0.2">
      <c r="A169" s="52">
        <v>3421</v>
      </c>
      <c r="B169" s="53">
        <v>6121</v>
      </c>
      <c r="C169" s="97" t="s">
        <v>370</v>
      </c>
      <c r="D169" s="114">
        <v>400</v>
      </c>
      <c r="E169" s="114">
        <v>400</v>
      </c>
      <c r="F169" s="170">
        <f>284250.62-50000</f>
        <v>234250.62</v>
      </c>
      <c r="G169" s="151">
        <v>670</v>
      </c>
      <c r="H169" s="123"/>
      <c r="K169" s="224"/>
    </row>
    <row r="170" spans="1:11" s="4" customFormat="1" ht="15.75" x14ac:dyDescent="0.25">
      <c r="A170" s="28">
        <v>3421</v>
      </c>
      <c r="B170" s="29"/>
      <c r="C170" s="64" t="s">
        <v>53</v>
      </c>
      <c r="D170" s="72">
        <f>SUM(D162:D169)</f>
        <v>645</v>
      </c>
      <c r="E170" s="72">
        <f>SUM(E162:E169)</f>
        <v>1161</v>
      </c>
      <c r="F170" s="169">
        <f>SUM(F162:F169)</f>
        <v>571600.51</v>
      </c>
      <c r="G170" s="143">
        <f>SUM(G162:G169)</f>
        <v>4145</v>
      </c>
      <c r="H170" s="124">
        <f>G170</f>
        <v>4145</v>
      </c>
      <c r="K170" s="224"/>
    </row>
    <row r="171" spans="1:11" s="6" customFormat="1" x14ac:dyDescent="0.2">
      <c r="A171" s="8"/>
      <c r="B171" s="10"/>
      <c r="C171" s="63"/>
      <c r="D171" s="71"/>
      <c r="E171" s="71"/>
      <c r="F171" s="165"/>
      <c r="G171" s="142"/>
      <c r="H171" s="123"/>
      <c r="K171" s="224"/>
    </row>
    <row r="172" spans="1:11" s="6" customFormat="1" x14ac:dyDescent="0.2">
      <c r="A172" s="52">
        <v>3599</v>
      </c>
      <c r="B172" s="53">
        <v>5222</v>
      </c>
      <c r="C172" s="50" t="s">
        <v>282</v>
      </c>
      <c r="D172" s="71">
        <v>0</v>
      </c>
      <c r="E172" s="71">
        <v>5</v>
      </c>
      <c r="F172" s="165">
        <v>5000</v>
      </c>
      <c r="G172" s="142">
        <v>0</v>
      </c>
      <c r="H172" s="123"/>
      <c r="K172" s="224"/>
    </row>
    <row r="173" spans="1:11" s="6" customFormat="1" ht="30" x14ac:dyDescent="0.2">
      <c r="A173" s="52">
        <v>3599</v>
      </c>
      <c r="B173" s="53">
        <v>5221</v>
      </c>
      <c r="C173" s="50" t="s">
        <v>274</v>
      </c>
      <c r="D173" s="71">
        <v>5</v>
      </c>
      <c r="E173" s="71">
        <v>5</v>
      </c>
      <c r="F173" s="165">
        <v>5000</v>
      </c>
      <c r="G173" s="142">
        <v>10</v>
      </c>
      <c r="H173" s="123"/>
      <c r="K173" s="224"/>
    </row>
    <row r="174" spans="1:11" s="6" customFormat="1" ht="30" x14ac:dyDescent="0.2">
      <c r="A174" s="52">
        <v>3599</v>
      </c>
      <c r="B174" s="53">
        <v>5221</v>
      </c>
      <c r="C174" s="50" t="s">
        <v>207</v>
      </c>
      <c r="D174" s="71">
        <v>5</v>
      </c>
      <c r="E174" s="71">
        <v>5</v>
      </c>
      <c r="F174" s="165">
        <v>0</v>
      </c>
      <c r="G174" s="142">
        <v>5</v>
      </c>
      <c r="H174" s="123"/>
      <c r="K174" s="224"/>
    </row>
    <row r="175" spans="1:11" s="6" customFormat="1" x14ac:dyDescent="0.2">
      <c r="A175" s="52">
        <v>3599</v>
      </c>
      <c r="B175" s="53">
        <v>5339</v>
      </c>
      <c r="C175" s="50" t="s">
        <v>106</v>
      </c>
      <c r="D175" s="71">
        <v>5</v>
      </c>
      <c r="E175" s="71">
        <v>5</v>
      </c>
      <c r="F175" s="165">
        <v>0</v>
      </c>
      <c r="G175" s="142">
        <v>5</v>
      </c>
      <c r="H175" s="123"/>
      <c r="K175" s="224"/>
    </row>
    <row r="176" spans="1:11" s="6" customFormat="1" x14ac:dyDescent="0.2">
      <c r="A176" s="52">
        <v>3599</v>
      </c>
      <c r="B176" s="53">
        <v>5901</v>
      </c>
      <c r="C176" s="50" t="s">
        <v>253</v>
      </c>
      <c r="D176" s="71">
        <v>25</v>
      </c>
      <c r="E176" s="71">
        <f>25-10</f>
        <v>15</v>
      </c>
      <c r="F176" s="165">
        <v>0</v>
      </c>
      <c r="G176" s="142">
        <v>25</v>
      </c>
      <c r="H176" s="123"/>
      <c r="K176" s="224"/>
    </row>
    <row r="177" spans="1:11" s="6" customFormat="1" ht="15.75" x14ac:dyDescent="0.25">
      <c r="A177" s="28">
        <v>3599</v>
      </c>
      <c r="B177" s="29"/>
      <c r="C177" s="64" t="s">
        <v>131</v>
      </c>
      <c r="D177" s="72">
        <f>SUM(D172:D176)</f>
        <v>40</v>
      </c>
      <c r="E177" s="72">
        <f>SUM(E172:E176)</f>
        <v>35</v>
      </c>
      <c r="F177" s="169">
        <f>SUM(F172:F176)</f>
        <v>10000</v>
      </c>
      <c r="G177" s="143">
        <f>SUM(G172:G176)</f>
        <v>45</v>
      </c>
      <c r="H177" s="124">
        <f>G177</f>
        <v>45</v>
      </c>
      <c r="K177" s="224"/>
    </row>
    <row r="178" spans="1:11" s="6" customFormat="1" x14ac:dyDescent="0.2">
      <c r="A178" s="8"/>
      <c r="B178" s="10"/>
      <c r="C178" s="63"/>
      <c r="D178" s="71"/>
      <c r="E178" s="71"/>
      <c r="F178" s="165"/>
      <c r="G178" s="142"/>
      <c r="H178" s="123"/>
      <c r="K178" s="224"/>
    </row>
    <row r="179" spans="1:11" s="6" customFormat="1" x14ac:dyDescent="0.2">
      <c r="A179" s="8">
        <v>3631</v>
      </c>
      <c r="B179" s="10">
        <v>5154</v>
      </c>
      <c r="C179" s="63" t="s">
        <v>118</v>
      </c>
      <c r="D179" s="71">
        <v>19</v>
      </c>
      <c r="E179" s="71">
        <v>19</v>
      </c>
      <c r="F179" s="165">
        <v>8173.21</v>
      </c>
      <c r="G179" s="142">
        <v>19</v>
      </c>
      <c r="H179" s="123"/>
      <c r="K179" s="224"/>
    </row>
    <row r="180" spans="1:11" s="4" customFormat="1" ht="15.75" x14ac:dyDescent="0.25">
      <c r="A180" s="28">
        <v>3631</v>
      </c>
      <c r="B180" s="29"/>
      <c r="C180" s="64" t="s">
        <v>40</v>
      </c>
      <c r="D180" s="72">
        <f>SUM(D179)</f>
        <v>19</v>
      </c>
      <c r="E180" s="72">
        <f>SUM(E179)</f>
        <v>19</v>
      </c>
      <c r="F180" s="169">
        <f>SUM(F179:F179)</f>
        <v>8173.21</v>
      </c>
      <c r="G180" s="143">
        <f>SUM(G179)</f>
        <v>19</v>
      </c>
      <c r="H180" s="124">
        <f>G180</f>
        <v>19</v>
      </c>
      <c r="K180" s="224"/>
    </row>
    <row r="181" spans="1:11" x14ac:dyDescent="0.2">
      <c r="A181" s="8"/>
      <c r="B181" s="10"/>
      <c r="C181" s="63"/>
      <c r="D181" s="71"/>
      <c r="E181" s="71"/>
      <c r="F181" s="165"/>
      <c r="G181" s="142"/>
      <c r="H181" s="123"/>
    </row>
    <row r="182" spans="1:11" x14ac:dyDescent="0.2">
      <c r="A182" s="8">
        <v>3632</v>
      </c>
      <c r="B182" s="49">
        <v>5011</v>
      </c>
      <c r="C182" s="59" t="s">
        <v>14</v>
      </c>
      <c r="D182" s="71">
        <v>220</v>
      </c>
      <c r="E182" s="71">
        <v>220</v>
      </c>
      <c r="F182" s="165">
        <v>194747</v>
      </c>
      <c r="G182" s="142">
        <v>220</v>
      </c>
      <c r="H182" s="123"/>
    </row>
    <row r="183" spans="1:11" x14ac:dyDescent="0.2">
      <c r="A183" s="52">
        <v>3632</v>
      </c>
      <c r="B183" s="53">
        <v>5021</v>
      </c>
      <c r="C183" s="99" t="s">
        <v>17</v>
      </c>
      <c r="D183" s="71">
        <v>6</v>
      </c>
      <c r="E183" s="71">
        <v>6</v>
      </c>
      <c r="F183" s="165">
        <v>0</v>
      </c>
      <c r="G183" s="142">
        <v>6</v>
      </c>
      <c r="H183" s="123"/>
    </row>
    <row r="184" spans="1:11" x14ac:dyDescent="0.2">
      <c r="A184" s="52">
        <v>3632</v>
      </c>
      <c r="B184" s="53">
        <v>5031</v>
      </c>
      <c r="C184" s="50" t="s">
        <v>134</v>
      </c>
      <c r="D184" s="71">
        <v>55</v>
      </c>
      <c r="E184" s="71">
        <v>55</v>
      </c>
      <c r="F184" s="165">
        <v>44436</v>
      </c>
      <c r="G184" s="142">
        <v>55</v>
      </c>
      <c r="H184" s="123"/>
    </row>
    <row r="185" spans="1:11" x14ac:dyDescent="0.2">
      <c r="A185" s="52">
        <v>3632</v>
      </c>
      <c r="B185" s="53">
        <v>5032</v>
      </c>
      <c r="C185" s="50" t="s">
        <v>33</v>
      </c>
      <c r="D185" s="71">
        <v>20</v>
      </c>
      <c r="E185" s="71">
        <v>20</v>
      </c>
      <c r="F185" s="165">
        <v>17074</v>
      </c>
      <c r="G185" s="142">
        <v>20</v>
      </c>
      <c r="H185" s="123"/>
    </row>
    <row r="186" spans="1:11" x14ac:dyDescent="0.2">
      <c r="A186" s="52">
        <v>3632</v>
      </c>
      <c r="B186" s="53">
        <v>5137</v>
      </c>
      <c r="C186" s="50" t="s">
        <v>230</v>
      </c>
      <c r="D186" s="71">
        <v>8</v>
      </c>
      <c r="E186" s="71">
        <v>8</v>
      </c>
      <c r="F186" s="165">
        <v>0</v>
      </c>
      <c r="G186" s="142">
        <v>8</v>
      </c>
      <c r="H186" s="123"/>
    </row>
    <row r="187" spans="1:11" x14ac:dyDescent="0.2">
      <c r="A187" s="52">
        <v>3632</v>
      </c>
      <c r="B187" s="53">
        <v>5139</v>
      </c>
      <c r="C187" s="50" t="s">
        <v>356</v>
      </c>
      <c r="D187" s="71">
        <v>8</v>
      </c>
      <c r="E187" s="71">
        <f>8+17</f>
        <v>25</v>
      </c>
      <c r="F187" s="165">
        <v>24538.2</v>
      </c>
      <c r="G187" s="142">
        <v>28</v>
      </c>
      <c r="H187" s="123"/>
    </row>
    <row r="188" spans="1:11" x14ac:dyDescent="0.2">
      <c r="A188" s="52">
        <v>3632</v>
      </c>
      <c r="B188" s="53">
        <v>5151</v>
      </c>
      <c r="C188" s="50" t="s">
        <v>10</v>
      </c>
      <c r="D188" s="71">
        <v>10</v>
      </c>
      <c r="E188" s="71">
        <v>10</v>
      </c>
      <c r="F188" s="165">
        <v>5860</v>
      </c>
      <c r="G188" s="142">
        <v>10</v>
      </c>
      <c r="H188" s="123"/>
    </row>
    <row r="189" spans="1:11" x14ac:dyDescent="0.2">
      <c r="A189" s="52">
        <v>3632</v>
      </c>
      <c r="B189" s="53">
        <v>5154</v>
      </c>
      <c r="C189" s="50" t="s">
        <v>12</v>
      </c>
      <c r="D189" s="71">
        <v>6</v>
      </c>
      <c r="E189" s="71">
        <v>6</v>
      </c>
      <c r="F189" s="165">
        <v>6872</v>
      </c>
      <c r="G189" s="142">
        <v>8</v>
      </c>
      <c r="H189" s="123"/>
    </row>
    <row r="190" spans="1:11" x14ac:dyDescent="0.2">
      <c r="A190" s="52">
        <v>3632</v>
      </c>
      <c r="B190" s="53">
        <v>5156</v>
      </c>
      <c r="C190" s="50" t="s">
        <v>237</v>
      </c>
      <c r="D190" s="71">
        <v>5</v>
      </c>
      <c r="E190" s="71">
        <v>5</v>
      </c>
      <c r="F190" s="165">
        <v>0</v>
      </c>
      <c r="G190" s="142">
        <v>5</v>
      </c>
      <c r="H190" s="123"/>
    </row>
    <row r="191" spans="1:11" s="232" customFormat="1" x14ac:dyDescent="0.2">
      <c r="A191" s="52">
        <v>3632</v>
      </c>
      <c r="B191" s="53">
        <v>5169</v>
      </c>
      <c r="C191" s="50" t="s">
        <v>299</v>
      </c>
      <c r="D191" s="71">
        <v>0</v>
      </c>
      <c r="E191" s="71">
        <v>24.4</v>
      </c>
      <c r="F191" s="165">
        <v>24439</v>
      </c>
      <c r="G191" s="142">
        <v>0</v>
      </c>
      <c r="H191" s="123"/>
      <c r="K191" s="224"/>
    </row>
    <row r="192" spans="1:11" x14ac:dyDescent="0.2">
      <c r="A192" s="52">
        <v>3632</v>
      </c>
      <c r="B192" s="53">
        <v>5169</v>
      </c>
      <c r="C192" s="50" t="s">
        <v>331</v>
      </c>
      <c r="D192" s="71">
        <v>10</v>
      </c>
      <c r="E192" s="71">
        <v>10</v>
      </c>
      <c r="F192" s="165">
        <v>0</v>
      </c>
      <c r="G192" s="142">
        <v>10</v>
      </c>
      <c r="H192" s="123"/>
    </row>
    <row r="193" spans="1:11" x14ac:dyDescent="0.2">
      <c r="A193" s="52">
        <v>3632</v>
      </c>
      <c r="B193" s="53">
        <v>5169</v>
      </c>
      <c r="C193" s="50" t="s">
        <v>109</v>
      </c>
      <c r="D193" s="71">
        <v>140</v>
      </c>
      <c r="E193" s="71">
        <v>140</v>
      </c>
      <c r="F193" s="165">
        <f>100085.06+2436.84</f>
        <v>102521.9</v>
      </c>
      <c r="G193" s="142">
        <v>140</v>
      </c>
      <c r="H193" s="123"/>
    </row>
    <row r="194" spans="1:11" x14ac:dyDescent="0.2">
      <c r="A194" s="52">
        <v>3632</v>
      </c>
      <c r="B194" s="53">
        <v>5169</v>
      </c>
      <c r="C194" s="50" t="s">
        <v>110</v>
      </c>
      <c r="D194" s="71">
        <v>20</v>
      </c>
      <c r="E194" s="71">
        <v>20</v>
      </c>
      <c r="F194" s="165">
        <v>38000.199999999997</v>
      </c>
      <c r="G194" s="142">
        <v>40</v>
      </c>
      <c r="H194" s="123"/>
    </row>
    <row r="195" spans="1:11" x14ac:dyDescent="0.2">
      <c r="A195" s="52">
        <v>3632</v>
      </c>
      <c r="B195" s="53">
        <v>5171</v>
      </c>
      <c r="C195" s="50" t="s">
        <v>199</v>
      </c>
      <c r="D195" s="71">
        <v>50</v>
      </c>
      <c r="E195" s="71">
        <f>50-17</f>
        <v>33</v>
      </c>
      <c r="F195" s="165">
        <v>8470</v>
      </c>
      <c r="G195" s="142">
        <v>50</v>
      </c>
      <c r="H195" s="123"/>
    </row>
    <row r="196" spans="1:11" ht="19.5" customHeight="1" x14ac:dyDescent="0.2">
      <c r="A196" s="52">
        <v>3632</v>
      </c>
      <c r="B196" s="53">
        <v>6121</v>
      </c>
      <c r="C196" s="97" t="s">
        <v>357</v>
      </c>
      <c r="D196" s="114">
        <v>350</v>
      </c>
      <c r="E196" s="114">
        <v>350</v>
      </c>
      <c r="F196" s="216">
        <v>0</v>
      </c>
      <c r="G196" s="151">
        <v>2000</v>
      </c>
      <c r="H196" s="123"/>
    </row>
    <row r="197" spans="1:11" s="3" customFormat="1" ht="15.75" x14ac:dyDescent="0.25">
      <c r="A197" s="25">
        <v>3632</v>
      </c>
      <c r="B197" s="26"/>
      <c r="C197" s="62" t="s">
        <v>18</v>
      </c>
      <c r="D197" s="72">
        <f>SUM(D182:D196)</f>
        <v>908</v>
      </c>
      <c r="E197" s="72">
        <f>SUM(E182:E196)</f>
        <v>932.4</v>
      </c>
      <c r="F197" s="166">
        <f>SUM(F182:F196)</f>
        <v>466958.3</v>
      </c>
      <c r="G197" s="143">
        <f>SUM(G182:G196)</f>
        <v>2600</v>
      </c>
      <c r="H197" s="124">
        <f>G197</f>
        <v>2600</v>
      </c>
      <c r="K197" s="224"/>
    </row>
    <row r="198" spans="1:11" x14ac:dyDescent="0.2">
      <c r="A198" s="8"/>
      <c r="B198" s="10"/>
      <c r="C198" s="63"/>
      <c r="D198" s="71"/>
      <c r="E198" s="71"/>
      <c r="F198" s="165"/>
      <c r="G198" s="142"/>
      <c r="H198" s="123"/>
    </row>
    <row r="199" spans="1:11" x14ac:dyDescent="0.2">
      <c r="A199" s="52">
        <v>3635</v>
      </c>
      <c r="B199" s="53">
        <v>5166</v>
      </c>
      <c r="C199" s="50" t="s">
        <v>248</v>
      </c>
      <c r="D199" s="71">
        <v>300</v>
      </c>
      <c r="E199" s="71">
        <v>300</v>
      </c>
      <c r="F199" s="165">
        <v>117250</v>
      </c>
      <c r="G199" s="142">
        <v>300</v>
      </c>
      <c r="H199" s="123"/>
    </row>
    <row r="200" spans="1:11" s="222" customFormat="1" x14ac:dyDescent="0.2">
      <c r="A200" s="52">
        <v>3635</v>
      </c>
      <c r="B200" s="53">
        <v>5166</v>
      </c>
      <c r="C200" s="50" t="s">
        <v>358</v>
      </c>
      <c r="D200" s="71">
        <v>0</v>
      </c>
      <c r="E200" s="71">
        <v>0</v>
      </c>
      <c r="F200" s="165">
        <v>147550</v>
      </c>
      <c r="G200" s="142">
        <v>3255</v>
      </c>
      <c r="H200" s="123"/>
      <c r="K200" s="224"/>
    </row>
    <row r="201" spans="1:11" s="3" customFormat="1" ht="15.75" x14ac:dyDescent="0.25">
      <c r="A201" s="25">
        <v>3635</v>
      </c>
      <c r="B201" s="26"/>
      <c r="C201" s="62" t="s">
        <v>19</v>
      </c>
      <c r="D201" s="72">
        <f>SUM(D199:D200)</f>
        <v>300</v>
      </c>
      <c r="E201" s="72">
        <f t="shared" ref="E201:F201" si="1">SUM(E199:E200)</f>
        <v>300</v>
      </c>
      <c r="F201" s="166">
        <f t="shared" si="1"/>
        <v>264800</v>
      </c>
      <c r="G201" s="143">
        <f>SUM(G199:G200)</f>
        <v>3555</v>
      </c>
      <c r="H201" s="124">
        <f>G201</f>
        <v>3555</v>
      </c>
      <c r="K201" s="224"/>
    </row>
    <row r="202" spans="1:11" s="3" customFormat="1" ht="15.75" x14ac:dyDescent="0.25">
      <c r="A202" s="25"/>
      <c r="B202" s="26"/>
      <c r="C202" s="62"/>
      <c r="D202" s="71"/>
      <c r="E202" s="71"/>
      <c r="F202" s="166"/>
      <c r="G202" s="142"/>
      <c r="H202" s="123"/>
      <c r="K202" s="224"/>
    </row>
    <row r="203" spans="1:11" x14ac:dyDescent="0.2">
      <c r="A203" s="52">
        <v>3639</v>
      </c>
      <c r="B203" s="53">
        <v>5151</v>
      </c>
      <c r="C203" s="50" t="s">
        <v>10</v>
      </c>
      <c r="D203" s="71">
        <v>4</v>
      </c>
      <c r="E203" s="71">
        <v>4</v>
      </c>
      <c r="F203" s="165">
        <v>1148</v>
      </c>
      <c r="G203" s="142">
        <v>4</v>
      </c>
      <c r="H203" s="123"/>
    </row>
    <row r="204" spans="1:11" s="6" customFormat="1" x14ac:dyDescent="0.2">
      <c r="A204" s="52">
        <v>3639</v>
      </c>
      <c r="B204" s="53">
        <v>5154</v>
      </c>
      <c r="C204" s="50" t="s">
        <v>300</v>
      </c>
      <c r="D204" s="71">
        <v>13</v>
      </c>
      <c r="E204" s="71">
        <f>13+11</f>
        <v>24</v>
      </c>
      <c r="F204" s="165">
        <v>23646</v>
      </c>
      <c r="G204" s="142">
        <v>24</v>
      </c>
      <c r="H204" s="123"/>
      <c r="K204" s="224"/>
    </row>
    <row r="205" spans="1:11" s="6" customFormat="1" x14ac:dyDescent="0.2">
      <c r="A205" s="52">
        <v>3639</v>
      </c>
      <c r="B205" s="53">
        <v>5169</v>
      </c>
      <c r="C205" s="50" t="s">
        <v>359</v>
      </c>
      <c r="D205" s="71">
        <v>0</v>
      </c>
      <c r="E205" s="71">
        <v>0</v>
      </c>
      <c r="F205" s="165">
        <v>0</v>
      </c>
      <c r="G205" s="142">
        <v>5</v>
      </c>
      <c r="H205" s="123"/>
      <c r="K205" s="224"/>
    </row>
    <row r="206" spans="1:11" s="6" customFormat="1" x14ac:dyDescent="0.2">
      <c r="A206" s="52">
        <v>3639</v>
      </c>
      <c r="B206" s="53">
        <v>5171</v>
      </c>
      <c r="C206" s="50" t="s">
        <v>249</v>
      </c>
      <c r="D206" s="71">
        <v>10</v>
      </c>
      <c r="E206" s="71">
        <v>10</v>
      </c>
      <c r="F206" s="165">
        <v>0</v>
      </c>
      <c r="G206" s="142">
        <v>10</v>
      </c>
      <c r="H206" s="123"/>
      <c r="K206" s="224"/>
    </row>
    <row r="207" spans="1:11" s="6" customFormat="1" x14ac:dyDescent="0.2">
      <c r="A207" s="52">
        <v>3639</v>
      </c>
      <c r="B207" s="53">
        <v>5171</v>
      </c>
      <c r="C207" s="50" t="s">
        <v>250</v>
      </c>
      <c r="D207" s="71">
        <v>30</v>
      </c>
      <c r="E207" s="71">
        <f>30-11</f>
        <v>19</v>
      </c>
      <c r="F207" s="165">
        <v>0</v>
      </c>
      <c r="G207" s="142">
        <v>30</v>
      </c>
      <c r="H207" s="123"/>
      <c r="K207" s="224"/>
    </row>
    <row r="208" spans="1:11" s="6" customFormat="1" ht="30" x14ac:dyDescent="0.2">
      <c r="A208" s="52">
        <v>3639</v>
      </c>
      <c r="B208" s="53">
        <v>5901</v>
      </c>
      <c r="C208" s="50" t="s">
        <v>251</v>
      </c>
      <c r="D208" s="71">
        <v>250</v>
      </c>
      <c r="E208" s="71">
        <f>250-250</f>
        <v>0</v>
      </c>
      <c r="F208" s="165">
        <v>0</v>
      </c>
      <c r="G208" s="142">
        <v>0</v>
      </c>
      <c r="H208" s="123"/>
      <c r="K208" s="224"/>
    </row>
    <row r="209" spans="1:11" s="232" customFormat="1" ht="30" customHeight="1" x14ac:dyDescent="0.2">
      <c r="A209" s="52">
        <v>3639</v>
      </c>
      <c r="B209" s="53">
        <v>6121</v>
      </c>
      <c r="C209" s="97" t="s">
        <v>371</v>
      </c>
      <c r="D209" s="114">
        <v>0</v>
      </c>
      <c r="E209" s="114">
        <f>250+350</f>
        <v>600</v>
      </c>
      <c r="F209" s="216">
        <v>594015</v>
      </c>
      <c r="G209" s="151">
        <v>1000</v>
      </c>
      <c r="H209" s="123"/>
      <c r="K209" s="224"/>
    </row>
    <row r="210" spans="1:11" s="3" customFormat="1" ht="15.75" x14ac:dyDescent="0.25">
      <c r="A210" s="25">
        <v>3639</v>
      </c>
      <c r="B210" s="26"/>
      <c r="C210" s="62" t="s">
        <v>47</v>
      </c>
      <c r="D210" s="72">
        <f>SUM(D203:D209)</f>
        <v>307</v>
      </c>
      <c r="E210" s="72">
        <f t="shared" ref="E210:F210" si="2">SUM(E203:E209)</f>
        <v>657</v>
      </c>
      <c r="F210" s="166">
        <f t="shared" si="2"/>
        <v>618809</v>
      </c>
      <c r="G210" s="143">
        <f>SUM(G203:G209)</f>
        <v>1073</v>
      </c>
      <c r="H210" s="124">
        <f>G210</f>
        <v>1073</v>
      </c>
      <c r="K210" s="224"/>
    </row>
    <row r="211" spans="1:11" s="3" customFormat="1" ht="15.75" x14ac:dyDescent="0.25">
      <c r="A211" s="25"/>
      <c r="B211" s="26"/>
      <c r="C211" s="62"/>
      <c r="D211" s="71"/>
      <c r="E211" s="71"/>
      <c r="F211" s="166"/>
      <c r="G211" s="142"/>
      <c r="H211" s="123"/>
      <c r="K211" s="224"/>
    </row>
    <row r="212" spans="1:11" s="3" customFormat="1" x14ac:dyDescent="0.2">
      <c r="A212" s="8">
        <v>3722</v>
      </c>
      <c r="B212" s="10">
        <v>5169</v>
      </c>
      <c r="C212" s="63" t="s">
        <v>5</v>
      </c>
      <c r="D212" s="71">
        <v>60</v>
      </c>
      <c r="E212" s="71">
        <f>60+35</f>
        <v>95</v>
      </c>
      <c r="F212" s="165">
        <v>61204.84</v>
      </c>
      <c r="G212" s="142">
        <v>80</v>
      </c>
      <c r="H212" s="123"/>
      <c r="K212" s="224"/>
    </row>
    <row r="213" spans="1:11" s="3" customFormat="1" x14ac:dyDescent="0.2">
      <c r="A213" s="8">
        <v>3722</v>
      </c>
      <c r="B213" s="49">
        <v>6121</v>
      </c>
      <c r="C213" s="97" t="s">
        <v>160</v>
      </c>
      <c r="D213" s="114">
        <v>300</v>
      </c>
      <c r="E213" s="114">
        <v>300</v>
      </c>
      <c r="F213" s="170">
        <v>47795</v>
      </c>
      <c r="G213" s="151">
        <v>300</v>
      </c>
      <c r="H213" s="123"/>
      <c r="K213" s="224"/>
    </row>
    <row r="214" spans="1:11" s="3" customFormat="1" ht="15.75" x14ac:dyDescent="0.25">
      <c r="A214" s="25">
        <v>3722</v>
      </c>
      <c r="B214" s="26"/>
      <c r="C214" s="62" t="s">
        <v>20</v>
      </c>
      <c r="D214" s="72">
        <f>SUM(D212:D213)</f>
        <v>360</v>
      </c>
      <c r="E214" s="72">
        <f>SUM(E212:E213)</f>
        <v>395</v>
      </c>
      <c r="F214" s="166">
        <f>SUM(F212:F213)</f>
        <v>108999.84</v>
      </c>
      <c r="G214" s="143">
        <f>SUM(G212:G213)</f>
        <v>380</v>
      </c>
      <c r="H214" s="124">
        <f>G214</f>
        <v>380</v>
      </c>
      <c r="K214" s="224"/>
    </row>
    <row r="215" spans="1:11" s="3" customFormat="1" ht="15.75" x14ac:dyDescent="0.25">
      <c r="A215" s="25"/>
      <c r="B215" s="26"/>
      <c r="C215" s="62"/>
      <c r="D215" s="71"/>
      <c r="E215" s="71"/>
      <c r="F215" s="166"/>
      <c r="G215" s="142"/>
      <c r="H215" s="123"/>
      <c r="K215" s="224"/>
    </row>
    <row r="216" spans="1:11" s="3" customFormat="1" x14ac:dyDescent="0.2">
      <c r="A216" s="8">
        <v>3731</v>
      </c>
      <c r="B216" s="10">
        <v>5169</v>
      </c>
      <c r="C216" s="63" t="s">
        <v>37</v>
      </c>
      <c r="D216" s="71">
        <v>11</v>
      </c>
      <c r="E216" s="71">
        <v>11</v>
      </c>
      <c r="F216" s="165">
        <v>7986</v>
      </c>
      <c r="G216" s="142">
        <v>12</v>
      </c>
      <c r="H216" s="123"/>
      <c r="K216" s="224"/>
    </row>
    <row r="217" spans="1:11" s="3" customFormat="1" ht="15.75" x14ac:dyDescent="0.25">
      <c r="A217" s="25">
        <v>3731</v>
      </c>
      <c r="B217" s="26"/>
      <c r="C217" s="62" t="s">
        <v>77</v>
      </c>
      <c r="D217" s="72">
        <f>SUM(D216)</f>
        <v>11</v>
      </c>
      <c r="E217" s="72">
        <f>SUM(E216)</f>
        <v>11</v>
      </c>
      <c r="F217" s="166">
        <f>SUM(F216)</f>
        <v>7986</v>
      </c>
      <c r="G217" s="143">
        <f>SUM(G216)</f>
        <v>12</v>
      </c>
      <c r="H217" s="124">
        <f>G217</f>
        <v>12</v>
      </c>
      <c r="K217" s="224"/>
    </row>
    <row r="218" spans="1:11" s="3" customFormat="1" ht="15.75" x14ac:dyDescent="0.25">
      <c r="A218" s="25"/>
      <c r="B218" s="26"/>
      <c r="C218" s="62"/>
      <c r="D218" s="71"/>
      <c r="E218" s="71"/>
      <c r="F218" s="166"/>
      <c r="G218" s="142"/>
      <c r="H218" s="123"/>
      <c r="K218" s="224"/>
    </row>
    <row r="219" spans="1:11" s="3" customFormat="1" x14ac:dyDescent="0.2">
      <c r="A219" s="8">
        <v>3745</v>
      </c>
      <c r="B219" s="49">
        <v>5137</v>
      </c>
      <c r="C219" s="67" t="s">
        <v>36</v>
      </c>
      <c r="D219" s="71">
        <v>20</v>
      </c>
      <c r="E219" s="71">
        <v>20</v>
      </c>
      <c r="F219" s="165">
        <v>0</v>
      </c>
      <c r="G219" s="142">
        <v>20</v>
      </c>
      <c r="H219" s="123"/>
      <c r="K219" s="224"/>
    </row>
    <row r="220" spans="1:11" s="3" customFormat="1" x14ac:dyDescent="0.2">
      <c r="A220" s="52">
        <v>3745</v>
      </c>
      <c r="B220" s="53">
        <v>5139</v>
      </c>
      <c r="C220" s="50" t="s">
        <v>55</v>
      </c>
      <c r="D220" s="71">
        <v>100</v>
      </c>
      <c r="E220" s="71">
        <v>100</v>
      </c>
      <c r="F220" s="165">
        <v>117394.72</v>
      </c>
      <c r="G220" s="142">
        <v>100</v>
      </c>
      <c r="H220" s="123"/>
      <c r="K220" s="224"/>
    </row>
    <row r="221" spans="1:11" s="3" customFormat="1" x14ac:dyDescent="0.2">
      <c r="A221" s="52">
        <v>3745</v>
      </c>
      <c r="B221" s="53">
        <v>5169</v>
      </c>
      <c r="C221" s="50" t="s">
        <v>140</v>
      </c>
      <c r="D221" s="71"/>
      <c r="E221" s="71"/>
      <c r="F221" s="165"/>
      <c r="G221" s="142"/>
      <c r="H221" s="123"/>
      <c r="K221" s="224"/>
    </row>
    <row r="222" spans="1:11" s="3" customFormat="1" x14ac:dyDescent="0.2">
      <c r="A222" s="52">
        <v>3745</v>
      </c>
      <c r="B222" s="53">
        <v>5169</v>
      </c>
      <c r="C222" s="50" t="s">
        <v>186</v>
      </c>
      <c r="D222" s="71">
        <v>3855</v>
      </c>
      <c r="E222" s="71">
        <v>3855</v>
      </c>
      <c r="F222" s="165">
        <v>3443889.46</v>
      </c>
      <c r="G222" s="142">
        <v>3855</v>
      </c>
      <c r="H222" s="123"/>
      <c r="K222" s="224"/>
    </row>
    <row r="223" spans="1:11" s="3" customFormat="1" x14ac:dyDescent="0.2">
      <c r="A223" s="52">
        <v>3745</v>
      </c>
      <c r="B223" s="53">
        <v>5169</v>
      </c>
      <c r="C223" s="63" t="s">
        <v>263</v>
      </c>
      <c r="D223" s="71">
        <v>0</v>
      </c>
      <c r="E223" s="71">
        <v>70</v>
      </c>
      <c r="F223" s="165">
        <v>70000</v>
      </c>
      <c r="G223" s="142">
        <v>0</v>
      </c>
      <c r="H223" s="123"/>
      <c r="K223" s="224"/>
    </row>
    <row r="224" spans="1:11" s="3" customFormat="1" x14ac:dyDescent="0.2">
      <c r="A224" s="52">
        <v>3745</v>
      </c>
      <c r="B224" s="53">
        <v>5171</v>
      </c>
      <c r="C224" s="50" t="s">
        <v>78</v>
      </c>
      <c r="D224" s="71">
        <v>30</v>
      </c>
      <c r="E224" s="71">
        <v>30</v>
      </c>
      <c r="F224" s="165">
        <v>0</v>
      </c>
      <c r="G224" s="142">
        <v>30</v>
      </c>
      <c r="H224" s="123"/>
      <c r="K224" s="224"/>
    </row>
    <row r="225" spans="1:11" s="3" customFormat="1" ht="30" x14ac:dyDescent="0.2">
      <c r="A225" s="156">
        <v>3745</v>
      </c>
      <c r="B225" s="210">
        <v>6121</v>
      </c>
      <c r="C225" s="98" t="s">
        <v>360</v>
      </c>
      <c r="D225" s="114">
        <v>0</v>
      </c>
      <c r="E225" s="114">
        <v>550</v>
      </c>
      <c r="F225" s="170">
        <v>329938.3</v>
      </c>
      <c r="G225" s="151">
        <v>221</v>
      </c>
      <c r="H225" s="123"/>
      <c r="K225" s="224"/>
    </row>
    <row r="226" spans="1:11" s="3" customFormat="1" ht="15.75" x14ac:dyDescent="0.25">
      <c r="A226" s="25">
        <v>3745</v>
      </c>
      <c r="B226" s="26"/>
      <c r="C226" s="62" t="s">
        <v>25</v>
      </c>
      <c r="D226" s="72">
        <f>SUM(D219:D225)</f>
        <v>4005</v>
      </c>
      <c r="E226" s="72">
        <f>SUM(E219:E225)</f>
        <v>4625</v>
      </c>
      <c r="F226" s="166">
        <f>SUM(F219:F225)</f>
        <v>3961222.48</v>
      </c>
      <c r="G226" s="143">
        <f>SUM(G219:G225)</f>
        <v>4226</v>
      </c>
      <c r="H226" s="124">
        <f>G226</f>
        <v>4226</v>
      </c>
      <c r="K226" s="224"/>
    </row>
    <row r="227" spans="1:11" s="3" customFormat="1" ht="15.75" x14ac:dyDescent="0.25">
      <c r="A227" s="8"/>
      <c r="B227" s="10"/>
      <c r="C227" s="63"/>
      <c r="D227" s="71"/>
      <c r="E227" s="71"/>
      <c r="F227" s="166"/>
      <c r="G227" s="142"/>
      <c r="H227" s="123"/>
      <c r="K227" s="224"/>
    </row>
    <row r="228" spans="1:11" s="3" customFormat="1" x14ac:dyDescent="0.2">
      <c r="A228" s="8">
        <v>3900</v>
      </c>
      <c r="B228" s="49">
        <v>5161</v>
      </c>
      <c r="C228" s="67" t="s">
        <v>61</v>
      </c>
      <c r="D228" s="71">
        <v>5</v>
      </c>
      <c r="E228" s="71">
        <v>5</v>
      </c>
      <c r="F228" s="165">
        <v>0</v>
      </c>
      <c r="G228" s="142">
        <v>5</v>
      </c>
      <c r="H228" s="123"/>
      <c r="K228" s="224"/>
    </row>
    <row r="229" spans="1:11" s="3" customFormat="1" x14ac:dyDescent="0.2">
      <c r="A229" s="52">
        <v>3900</v>
      </c>
      <c r="B229" s="53">
        <v>5194</v>
      </c>
      <c r="C229" s="50" t="s">
        <v>164</v>
      </c>
      <c r="D229" s="71">
        <v>5</v>
      </c>
      <c r="E229" s="71">
        <v>5</v>
      </c>
      <c r="F229" s="165">
        <v>0</v>
      </c>
      <c r="G229" s="142">
        <v>5</v>
      </c>
      <c r="H229" s="123"/>
      <c r="K229" s="224"/>
    </row>
    <row r="230" spans="1:11" s="3" customFormat="1" ht="30" x14ac:dyDescent="0.2">
      <c r="A230" s="52">
        <v>3900</v>
      </c>
      <c r="B230" s="53">
        <v>5221</v>
      </c>
      <c r="C230" s="50" t="s">
        <v>301</v>
      </c>
      <c r="D230" s="71">
        <v>20</v>
      </c>
      <c r="E230" s="71">
        <f>20+10</f>
        <v>30</v>
      </c>
      <c r="F230" s="165">
        <v>30000</v>
      </c>
      <c r="G230" s="142">
        <v>30</v>
      </c>
      <c r="H230" s="123"/>
      <c r="K230" s="224"/>
    </row>
    <row r="231" spans="1:11" s="3" customFormat="1" x14ac:dyDescent="0.2">
      <c r="A231" s="52">
        <v>3900</v>
      </c>
      <c r="B231" s="53">
        <v>5222</v>
      </c>
      <c r="C231" s="50" t="s">
        <v>138</v>
      </c>
      <c r="D231" s="71">
        <v>10</v>
      </c>
      <c r="E231" s="71">
        <f>10-10</f>
        <v>0</v>
      </c>
      <c r="F231" s="165">
        <v>0</v>
      </c>
      <c r="G231" s="142">
        <v>10</v>
      </c>
      <c r="H231" s="123"/>
      <c r="K231" s="224"/>
    </row>
    <row r="232" spans="1:11" s="3" customFormat="1" x14ac:dyDescent="0.2">
      <c r="A232" s="52">
        <v>3900</v>
      </c>
      <c r="B232" s="53">
        <v>5499</v>
      </c>
      <c r="C232" s="50" t="s">
        <v>60</v>
      </c>
      <c r="D232" s="71">
        <v>100</v>
      </c>
      <c r="E232" s="71">
        <v>100</v>
      </c>
      <c r="F232" s="165">
        <v>74541</v>
      </c>
      <c r="G232" s="142">
        <v>100</v>
      </c>
      <c r="H232" s="123"/>
      <c r="K232" s="224"/>
    </row>
    <row r="233" spans="1:11" s="3" customFormat="1" ht="15.75" x14ac:dyDescent="0.25">
      <c r="A233" s="28">
        <v>3900</v>
      </c>
      <c r="B233" s="29"/>
      <c r="C233" s="64" t="s">
        <v>166</v>
      </c>
      <c r="D233" s="72">
        <f>SUM(D228:D232)</f>
        <v>140</v>
      </c>
      <c r="E233" s="72">
        <f>SUM(E228:E232)</f>
        <v>140</v>
      </c>
      <c r="F233" s="169">
        <f>SUM(F228:F232)</f>
        <v>104541</v>
      </c>
      <c r="G233" s="143">
        <f>SUM(G228:G232)</f>
        <v>150</v>
      </c>
      <c r="H233" s="124">
        <f>G233</f>
        <v>150</v>
      </c>
      <c r="K233" s="224"/>
    </row>
    <row r="234" spans="1:11" s="3" customFormat="1" ht="15.75" x14ac:dyDescent="0.25">
      <c r="A234" s="8"/>
      <c r="B234" s="10"/>
      <c r="C234" s="63"/>
      <c r="D234" s="71"/>
      <c r="E234" s="71"/>
      <c r="F234" s="166"/>
      <c r="G234" s="142"/>
      <c r="H234" s="123"/>
      <c r="K234" s="224"/>
    </row>
    <row r="235" spans="1:11" s="3" customFormat="1" x14ac:dyDescent="0.2">
      <c r="A235" s="8">
        <v>4341</v>
      </c>
      <c r="B235" s="49">
        <v>5492</v>
      </c>
      <c r="C235" s="67" t="s">
        <v>41</v>
      </c>
      <c r="D235" s="71">
        <v>20</v>
      </c>
      <c r="E235" s="71">
        <v>20</v>
      </c>
      <c r="F235" s="165">
        <v>0</v>
      </c>
      <c r="G235" s="142">
        <v>20</v>
      </c>
      <c r="H235" s="123"/>
      <c r="K235" s="224"/>
    </row>
    <row r="236" spans="1:11" s="4" customFormat="1" ht="15.75" x14ac:dyDescent="0.25">
      <c r="A236" s="28">
        <v>4341</v>
      </c>
      <c r="B236" s="29"/>
      <c r="C236" s="64" t="s">
        <v>200</v>
      </c>
      <c r="D236" s="72">
        <f>SUM(D235)</f>
        <v>20</v>
      </c>
      <c r="E236" s="72">
        <f>SUM(E235)</f>
        <v>20</v>
      </c>
      <c r="F236" s="169">
        <f>SUM(F235:F235)</f>
        <v>0</v>
      </c>
      <c r="G236" s="143">
        <f>SUM(G235)</f>
        <v>20</v>
      </c>
      <c r="H236" s="124">
        <f>G236</f>
        <v>20</v>
      </c>
      <c r="K236" s="224"/>
    </row>
    <row r="237" spans="1:11" s="3" customFormat="1" ht="15.75" x14ac:dyDescent="0.25">
      <c r="A237" s="25"/>
      <c r="B237" s="26"/>
      <c r="C237" s="62"/>
      <c r="D237" s="71"/>
      <c r="E237" s="71"/>
      <c r="F237" s="166"/>
      <c r="G237" s="142"/>
      <c r="H237" s="123"/>
      <c r="K237" s="224"/>
    </row>
    <row r="238" spans="1:11" ht="30" x14ac:dyDescent="0.2">
      <c r="A238" s="8">
        <v>4344</v>
      </c>
      <c r="B238" s="49">
        <v>5221</v>
      </c>
      <c r="C238" s="50" t="s">
        <v>208</v>
      </c>
      <c r="D238" s="71">
        <v>10</v>
      </c>
      <c r="E238" s="71">
        <f>10+10</f>
        <v>20</v>
      </c>
      <c r="F238" s="165">
        <v>20000</v>
      </c>
      <c r="G238" s="142">
        <v>20</v>
      </c>
      <c r="H238" s="123"/>
    </row>
    <row r="239" spans="1:11" x14ac:dyDescent="0.2">
      <c r="A239" s="8">
        <v>4344</v>
      </c>
      <c r="B239" s="49">
        <v>5222</v>
      </c>
      <c r="C239" s="67" t="s">
        <v>168</v>
      </c>
      <c r="D239" s="71">
        <v>70</v>
      </c>
      <c r="E239" s="71">
        <v>70</v>
      </c>
      <c r="F239" s="165"/>
      <c r="G239" s="142">
        <f>25+20+30</f>
        <v>75</v>
      </c>
      <c r="H239" s="123"/>
    </row>
    <row r="240" spans="1:11" x14ac:dyDescent="0.2">
      <c r="A240" s="52">
        <v>4344</v>
      </c>
      <c r="B240" s="53">
        <v>5222</v>
      </c>
      <c r="C240" s="50" t="s">
        <v>169</v>
      </c>
      <c r="D240" s="71"/>
      <c r="E240" s="71"/>
      <c r="F240" s="165">
        <v>30000</v>
      </c>
      <c r="G240" s="142"/>
      <c r="H240" s="123"/>
    </row>
    <row r="241" spans="1:11" x14ac:dyDescent="0.2">
      <c r="A241" s="52">
        <v>4344</v>
      </c>
      <c r="B241" s="53">
        <v>5222</v>
      </c>
      <c r="C241" s="50" t="s">
        <v>179</v>
      </c>
      <c r="D241" s="71"/>
      <c r="E241" s="71"/>
      <c r="F241" s="165">
        <v>20000</v>
      </c>
      <c r="G241" s="142"/>
      <c r="H241" s="123"/>
    </row>
    <row r="242" spans="1:11" x14ac:dyDescent="0.2">
      <c r="A242" s="52">
        <v>4344</v>
      </c>
      <c r="B242" s="53">
        <v>5222</v>
      </c>
      <c r="C242" s="50" t="s">
        <v>167</v>
      </c>
      <c r="D242" s="71"/>
      <c r="E242" s="71"/>
      <c r="F242" s="165">
        <v>20000</v>
      </c>
      <c r="G242" s="142"/>
      <c r="H242" s="123"/>
    </row>
    <row r="243" spans="1:11" s="3" customFormat="1" ht="15.75" x14ac:dyDescent="0.25">
      <c r="A243" s="25">
        <v>4344</v>
      </c>
      <c r="B243" s="26"/>
      <c r="C243" s="62" t="s">
        <v>50</v>
      </c>
      <c r="D243" s="72">
        <f>SUM(D238:D242)</f>
        <v>80</v>
      </c>
      <c r="E243" s="72">
        <f>SUM(E238:E242)</f>
        <v>90</v>
      </c>
      <c r="F243" s="169">
        <f t="shared" ref="F243" si="3">SUM(F238:F242)</f>
        <v>90000</v>
      </c>
      <c r="G243" s="143">
        <f>SUM(G238:G242)</f>
        <v>95</v>
      </c>
      <c r="H243" s="124">
        <f>G243</f>
        <v>95</v>
      </c>
      <c r="K243" s="224"/>
    </row>
    <row r="244" spans="1:11" s="3" customFormat="1" ht="15.75" x14ac:dyDescent="0.25">
      <c r="A244" s="25"/>
      <c r="B244" s="10"/>
      <c r="C244" s="65"/>
      <c r="D244" s="71"/>
      <c r="E244" s="71"/>
      <c r="F244" s="165"/>
      <c r="G244" s="142"/>
      <c r="H244" s="123"/>
      <c r="K244" s="224"/>
    </row>
    <row r="245" spans="1:11" s="3" customFormat="1" x14ac:dyDescent="0.2">
      <c r="A245" s="8">
        <v>4357</v>
      </c>
      <c r="B245" s="49">
        <v>5041</v>
      </c>
      <c r="C245" s="67" t="s">
        <v>86</v>
      </c>
      <c r="D245" s="71">
        <v>4</v>
      </c>
      <c r="E245" s="71">
        <v>4</v>
      </c>
      <c r="F245" s="165">
        <v>1799.75</v>
      </c>
      <c r="G245" s="142">
        <v>4</v>
      </c>
      <c r="H245" s="123"/>
      <c r="K245" s="224"/>
    </row>
    <row r="246" spans="1:11" s="3" customFormat="1" x14ac:dyDescent="0.2">
      <c r="A246" s="52">
        <v>4357</v>
      </c>
      <c r="B246" s="53">
        <v>5137</v>
      </c>
      <c r="C246" s="50" t="s">
        <v>303</v>
      </c>
      <c r="D246" s="71">
        <v>10</v>
      </c>
      <c r="E246" s="71">
        <f>10+23</f>
        <v>33</v>
      </c>
      <c r="F246" s="165">
        <v>33359.699999999997</v>
      </c>
      <c r="G246" s="142">
        <v>20</v>
      </c>
      <c r="H246" s="123"/>
      <c r="K246" s="224"/>
    </row>
    <row r="247" spans="1:11" s="6" customFormat="1" x14ac:dyDescent="0.2">
      <c r="A247" s="52">
        <v>4357</v>
      </c>
      <c r="B247" s="53">
        <v>5139</v>
      </c>
      <c r="C247" s="50" t="s">
        <v>196</v>
      </c>
      <c r="D247" s="71">
        <v>15</v>
      </c>
      <c r="E247" s="71">
        <v>15</v>
      </c>
      <c r="F247" s="165">
        <v>5010</v>
      </c>
      <c r="G247" s="142">
        <v>15</v>
      </c>
      <c r="H247" s="123"/>
      <c r="K247" s="224"/>
    </row>
    <row r="248" spans="1:11" s="6" customFormat="1" x14ac:dyDescent="0.2">
      <c r="A248" s="52">
        <v>4357</v>
      </c>
      <c r="B248" s="53">
        <v>5156</v>
      </c>
      <c r="C248" s="50" t="s">
        <v>48</v>
      </c>
      <c r="D248" s="71">
        <v>12</v>
      </c>
      <c r="E248" s="71">
        <v>12</v>
      </c>
      <c r="F248" s="165">
        <v>4575.96</v>
      </c>
      <c r="G248" s="142">
        <v>12</v>
      </c>
      <c r="H248" s="123"/>
      <c r="K248" s="224"/>
    </row>
    <row r="249" spans="1:11" s="3" customFormat="1" x14ac:dyDescent="0.2">
      <c r="A249" s="52">
        <v>4357</v>
      </c>
      <c r="B249" s="53">
        <v>5169</v>
      </c>
      <c r="C249" s="50" t="s">
        <v>140</v>
      </c>
      <c r="D249" s="71"/>
      <c r="E249" s="71"/>
      <c r="F249" s="165"/>
      <c r="G249" s="142"/>
      <c r="H249" s="123"/>
      <c r="K249" s="224"/>
    </row>
    <row r="250" spans="1:11" s="6" customFormat="1" x14ac:dyDescent="0.2">
      <c r="A250" s="52"/>
      <c r="B250" s="53"/>
      <c r="C250" s="50" t="s">
        <v>141</v>
      </c>
      <c r="D250" s="71">
        <v>40</v>
      </c>
      <c r="E250" s="71">
        <v>40</v>
      </c>
      <c r="F250" s="165">
        <v>37500</v>
      </c>
      <c r="G250" s="142">
        <v>40</v>
      </c>
      <c r="H250" s="123"/>
      <c r="K250" s="224"/>
    </row>
    <row r="251" spans="1:11" s="6" customFormat="1" x14ac:dyDescent="0.2">
      <c r="A251" s="52"/>
      <c r="B251" s="53"/>
      <c r="C251" s="50" t="s">
        <v>302</v>
      </c>
      <c r="D251" s="71">
        <v>100</v>
      </c>
      <c r="E251" s="71">
        <f>100-23</f>
        <v>77</v>
      </c>
      <c r="F251" s="165">
        <f>12310+22118.8+9000+7830</f>
        <v>51258.8</v>
      </c>
      <c r="G251" s="142">
        <v>100</v>
      </c>
      <c r="H251" s="123"/>
      <c r="K251" s="224"/>
    </row>
    <row r="252" spans="1:11" s="6" customFormat="1" ht="30" x14ac:dyDescent="0.2">
      <c r="A252" s="52"/>
      <c r="B252" s="53"/>
      <c r="C252" s="50" t="s">
        <v>231</v>
      </c>
      <c r="D252" s="71">
        <v>200</v>
      </c>
      <c r="E252" s="71">
        <v>200</v>
      </c>
      <c r="F252" s="165">
        <v>0</v>
      </c>
      <c r="G252" s="142">
        <v>200</v>
      </c>
      <c r="H252" s="123"/>
      <c r="K252" s="224"/>
    </row>
    <row r="253" spans="1:11" s="6" customFormat="1" ht="30" x14ac:dyDescent="0.2">
      <c r="A253" s="52">
        <v>4357</v>
      </c>
      <c r="B253" s="53">
        <v>5171</v>
      </c>
      <c r="C253" s="50" t="s">
        <v>304</v>
      </c>
      <c r="D253" s="71">
        <v>500</v>
      </c>
      <c r="E253" s="71">
        <f>500-78</f>
        <v>422</v>
      </c>
      <c r="F253" s="165">
        <v>335498</v>
      </c>
      <c r="G253" s="142">
        <v>500</v>
      </c>
      <c r="H253" s="123"/>
      <c r="K253" s="224"/>
    </row>
    <row r="254" spans="1:11" s="6" customFormat="1" x14ac:dyDescent="0.2">
      <c r="A254" s="52">
        <v>4357</v>
      </c>
      <c r="B254" s="53">
        <v>5175</v>
      </c>
      <c r="C254" s="50" t="s">
        <v>13</v>
      </c>
      <c r="D254" s="71">
        <v>18</v>
      </c>
      <c r="E254" s="71">
        <v>18</v>
      </c>
      <c r="F254" s="165">
        <v>12535</v>
      </c>
      <c r="G254" s="142">
        <v>18</v>
      </c>
      <c r="H254" s="123"/>
      <c r="K254" s="224"/>
    </row>
    <row r="255" spans="1:11" s="6" customFormat="1" x14ac:dyDescent="0.2">
      <c r="A255" s="52">
        <v>4357</v>
      </c>
      <c r="B255" s="53">
        <v>5194</v>
      </c>
      <c r="C255" s="50" t="s">
        <v>170</v>
      </c>
      <c r="D255" s="71">
        <v>3</v>
      </c>
      <c r="E255" s="71">
        <v>3</v>
      </c>
      <c r="F255" s="165">
        <v>0</v>
      </c>
      <c r="G255" s="142">
        <v>3</v>
      </c>
      <c r="H255" s="123"/>
      <c r="K255" s="224"/>
    </row>
    <row r="256" spans="1:11" s="6" customFormat="1" x14ac:dyDescent="0.2">
      <c r="A256" s="52">
        <v>4357</v>
      </c>
      <c r="B256" s="53">
        <v>5492</v>
      </c>
      <c r="C256" s="50" t="s">
        <v>132</v>
      </c>
      <c r="D256" s="71">
        <v>2</v>
      </c>
      <c r="E256" s="71">
        <f>2+2</f>
        <v>4</v>
      </c>
      <c r="F256" s="165">
        <v>4000</v>
      </c>
      <c r="G256" s="142">
        <v>4</v>
      </c>
      <c r="H256" s="123"/>
      <c r="K256" s="224"/>
    </row>
    <row r="257" spans="1:11" s="3" customFormat="1" x14ac:dyDescent="0.2">
      <c r="A257" s="156">
        <v>4357</v>
      </c>
      <c r="B257" s="210">
        <v>6121</v>
      </c>
      <c r="C257" s="98" t="s">
        <v>256</v>
      </c>
      <c r="D257" s="114">
        <v>2800</v>
      </c>
      <c r="E257" s="114">
        <f>2800+76</f>
        <v>2876</v>
      </c>
      <c r="F257" s="170">
        <f>2875824.07</f>
        <v>2875824.07</v>
      </c>
      <c r="G257" s="151">
        <v>2000</v>
      </c>
      <c r="H257" s="123"/>
      <c r="K257" s="224"/>
    </row>
    <row r="258" spans="1:11" s="3" customFormat="1" ht="15.75" x14ac:dyDescent="0.25">
      <c r="A258" s="25">
        <v>4357</v>
      </c>
      <c r="B258" s="26"/>
      <c r="C258" s="62" t="s">
        <v>135</v>
      </c>
      <c r="D258" s="72">
        <f>SUM(D245:D257)</f>
        <v>3704</v>
      </c>
      <c r="E258" s="72">
        <f>SUM(E245:E257)</f>
        <v>3704</v>
      </c>
      <c r="F258" s="169">
        <f>SUM(F245:F257)</f>
        <v>3361361.28</v>
      </c>
      <c r="G258" s="143">
        <f>SUM(G245:G257)</f>
        <v>2916</v>
      </c>
      <c r="H258" s="124">
        <f>G258</f>
        <v>2916</v>
      </c>
      <c r="K258" s="224"/>
    </row>
    <row r="259" spans="1:11" s="3" customFormat="1" ht="15.75" x14ac:dyDescent="0.25">
      <c r="A259" s="25"/>
      <c r="B259" s="26"/>
      <c r="C259" s="62"/>
      <c r="D259" s="71"/>
      <c r="E259" s="71"/>
      <c r="F259" s="166"/>
      <c r="G259" s="142"/>
      <c r="H259" s="123"/>
      <c r="K259" s="224"/>
    </row>
    <row r="260" spans="1:11" s="3" customFormat="1" x14ac:dyDescent="0.2">
      <c r="A260" s="8">
        <v>4359</v>
      </c>
      <c r="B260" s="10">
        <v>5139</v>
      </c>
      <c r="C260" s="63" t="s">
        <v>4</v>
      </c>
      <c r="D260" s="71">
        <v>2</v>
      </c>
      <c r="E260" s="71">
        <v>2</v>
      </c>
      <c r="F260" s="165">
        <v>0</v>
      </c>
      <c r="G260" s="142">
        <v>2</v>
      </c>
      <c r="H260" s="123"/>
      <c r="K260" s="224"/>
    </row>
    <row r="261" spans="1:11" s="3" customFormat="1" x14ac:dyDescent="0.2">
      <c r="A261" s="8">
        <v>4359</v>
      </c>
      <c r="B261" s="10">
        <v>5169</v>
      </c>
      <c r="C261" s="63" t="s">
        <v>88</v>
      </c>
      <c r="D261" s="71">
        <v>4</v>
      </c>
      <c r="E261" s="71">
        <v>4</v>
      </c>
      <c r="F261" s="165">
        <v>0</v>
      </c>
      <c r="G261" s="142">
        <v>4</v>
      </c>
      <c r="H261" s="123"/>
      <c r="K261" s="224"/>
    </row>
    <row r="262" spans="1:11" s="3" customFormat="1" x14ac:dyDescent="0.2">
      <c r="A262" s="27">
        <v>4359</v>
      </c>
      <c r="B262" s="30">
        <v>5175</v>
      </c>
      <c r="C262" s="66" t="s">
        <v>13</v>
      </c>
      <c r="D262" s="71">
        <v>6</v>
      </c>
      <c r="E262" s="71">
        <v>6</v>
      </c>
      <c r="F262" s="165">
        <v>7518</v>
      </c>
      <c r="G262" s="142">
        <v>8</v>
      </c>
      <c r="H262" s="123"/>
      <c r="K262" s="224"/>
    </row>
    <row r="263" spans="1:11" s="3" customFormat="1" ht="15.75" x14ac:dyDescent="0.25">
      <c r="A263" s="25">
        <v>4359</v>
      </c>
      <c r="B263" s="26"/>
      <c r="C263" s="62" t="s">
        <v>51</v>
      </c>
      <c r="D263" s="72">
        <f>SUM(D260:D262)</f>
        <v>12</v>
      </c>
      <c r="E263" s="72">
        <f>SUM(E260:E262)</f>
        <v>12</v>
      </c>
      <c r="F263" s="169">
        <f>SUM(F260:F262)</f>
        <v>7518</v>
      </c>
      <c r="G263" s="143">
        <f>SUM(G260:G262)</f>
        <v>14</v>
      </c>
      <c r="H263" s="124">
        <f>G263</f>
        <v>14</v>
      </c>
      <c r="K263" s="224"/>
    </row>
    <row r="264" spans="1:11" s="3" customFormat="1" ht="15.75" x14ac:dyDescent="0.25">
      <c r="A264" s="25"/>
      <c r="B264" s="26"/>
      <c r="C264" s="62"/>
      <c r="D264" s="71"/>
      <c r="E264" s="71"/>
      <c r="F264" s="166"/>
      <c r="G264" s="142"/>
      <c r="H264" s="123"/>
      <c r="K264" s="224"/>
    </row>
    <row r="265" spans="1:11" x14ac:dyDescent="0.2">
      <c r="A265" s="52">
        <v>5213</v>
      </c>
      <c r="B265" s="88">
        <v>5901</v>
      </c>
      <c r="C265" s="60" t="s">
        <v>133</v>
      </c>
      <c r="D265" s="71">
        <v>143</v>
      </c>
      <c r="E265" s="71">
        <f>143-100</f>
        <v>43</v>
      </c>
      <c r="F265" s="165">
        <v>0</v>
      </c>
      <c r="G265" s="142">
        <v>0</v>
      </c>
      <c r="H265" s="123"/>
    </row>
    <row r="266" spans="1:11" s="4" customFormat="1" ht="15.75" x14ac:dyDescent="0.25">
      <c r="A266" s="28">
        <v>5213</v>
      </c>
      <c r="B266" s="29"/>
      <c r="C266" s="64" t="s">
        <v>120</v>
      </c>
      <c r="D266" s="72">
        <f>SUM(D265:D265)</f>
        <v>143</v>
      </c>
      <c r="E266" s="72">
        <f>SUM(E265:E265)</f>
        <v>43</v>
      </c>
      <c r="F266" s="169">
        <f>SUM(F265:F265)</f>
        <v>0</v>
      </c>
      <c r="G266" s="143">
        <f>SUM(G265:G265)</f>
        <v>0</v>
      </c>
      <c r="H266" s="124">
        <f>G266</f>
        <v>0</v>
      </c>
      <c r="K266" s="224"/>
    </row>
    <row r="267" spans="1:11" s="4" customFormat="1" ht="15.75" x14ac:dyDescent="0.25">
      <c r="A267" s="28"/>
      <c r="B267" s="29"/>
      <c r="C267" s="64"/>
      <c r="D267" s="71"/>
      <c r="E267" s="71"/>
      <c r="F267" s="169"/>
      <c r="G267" s="142"/>
      <c r="H267" s="123"/>
      <c r="K267" s="224"/>
    </row>
    <row r="268" spans="1:11" s="4" customFormat="1" x14ac:dyDescent="0.2">
      <c r="A268" s="52">
        <v>5299</v>
      </c>
      <c r="B268" s="53">
        <v>5229</v>
      </c>
      <c r="C268" s="50" t="s">
        <v>317</v>
      </c>
      <c r="D268" s="71">
        <v>0</v>
      </c>
      <c r="E268" s="71">
        <v>100</v>
      </c>
      <c r="F268" s="165">
        <v>100000</v>
      </c>
      <c r="G268" s="142">
        <v>0</v>
      </c>
      <c r="H268" s="123"/>
      <c r="K268" s="224"/>
    </row>
    <row r="269" spans="1:11" s="4" customFormat="1" ht="15.75" x14ac:dyDescent="0.25">
      <c r="A269" s="54">
        <v>5299</v>
      </c>
      <c r="B269" s="55"/>
      <c r="C269" s="89" t="s">
        <v>318</v>
      </c>
      <c r="D269" s="72">
        <f>SUM(D268)</f>
        <v>0</v>
      </c>
      <c r="E269" s="72">
        <f>SUM(E268)</f>
        <v>100</v>
      </c>
      <c r="F269" s="169">
        <f>SUM(F268)</f>
        <v>100000</v>
      </c>
      <c r="G269" s="143">
        <f>SUM(G268)</f>
        <v>0</v>
      </c>
      <c r="H269" s="124">
        <f>G269</f>
        <v>0</v>
      </c>
      <c r="K269" s="224"/>
    </row>
    <row r="270" spans="1:11" s="4" customFormat="1" ht="15.75" x14ac:dyDescent="0.25">
      <c r="A270" s="54"/>
      <c r="B270" s="55"/>
      <c r="C270" s="89"/>
      <c r="D270" s="71"/>
      <c r="E270" s="71"/>
      <c r="F270" s="169"/>
      <c r="G270" s="142"/>
      <c r="H270" s="123"/>
      <c r="K270" s="224"/>
    </row>
    <row r="271" spans="1:11" x14ac:dyDescent="0.2">
      <c r="A271" s="52">
        <v>5311</v>
      </c>
      <c r="B271" s="53">
        <v>5492</v>
      </c>
      <c r="C271" s="50" t="s">
        <v>41</v>
      </c>
      <c r="D271" s="71">
        <v>20</v>
      </c>
      <c r="E271" s="71">
        <v>20</v>
      </c>
      <c r="F271" s="165">
        <v>20000</v>
      </c>
      <c r="G271" s="142">
        <v>20</v>
      </c>
      <c r="H271" s="123"/>
    </row>
    <row r="272" spans="1:11" x14ac:dyDescent="0.2">
      <c r="A272" s="52">
        <v>5311</v>
      </c>
      <c r="B272" s="53">
        <v>5319</v>
      </c>
      <c r="C272" s="50" t="s">
        <v>255</v>
      </c>
      <c r="D272" s="71">
        <v>10</v>
      </c>
      <c r="E272" s="71">
        <v>10</v>
      </c>
      <c r="F272" s="165">
        <v>0</v>
      </c>
      <c r="G272" s="142">
        <v>10</v>
      </c>
      <c r="H272" s="123"/>
    </row>
    <row r="273" spans="1:11" s="248" customFormat="1" x14ac:dyDescent="0.2">
      <c r="A273" s="52">
        <v>5311</v>
      </c>
      <c r="B273" s="53">
        <v>5171</v>
      </c>
      <c r="C273" s="50" t="s">
        <v>361</v>
      </c>
      <c r="D273" s="71">
        <v>0</v>
      </c>
      <c r="E273" s="71">
        <v>0</v>
      </c>
      <c r="F273" s="165">
        <v>0</v>
      </c>
      <c r="G273" s="142">
        <v>100</v>
      </c>
      <c r="H273" s="123"/>
      <c r="K273" s="224"/>
    </row>
    <row r="274" spans="1:11" s="3" customFormat="1" ht="15.75" x14ac:dyDescent="0.25">
      <c r="A274" s="25">
        <v>5311</v>
      </c>
      <c r="B274" s="26"/>
      <c r="C274" s="62" t="s">
        <v>52</v>
      </c>
      <c r="D274" s="72">
        <f>SUM(D271:D273)</f>
        <v>30</v>
      </c>
      <c r="E274" s="72">
        <f>SUM(E271:E273)</f>
        <v>30</v>
      </c>
      <c r="F274" s="166">
        <f>SUM(F271:F273)</f>
        <v>20000</v>
      </c>
      <c r="G274" s="143">
        <f>SUM(G271:G273)</f>
        <v>130</v>
      </c>
      <c r="H274" s="124">
        <f>G274</f>
        <v>130</v>
      </c>
      <c r="K274" s="224"/>
    </row>
    <row r="275" spans="1:11" s="3" customFormat="1" ht="15.75" x14ac:dyDescent="0.25">
      <c r="A275" s="28"/>
      <c r="B275" s="29"/>
      <c r="C275" s="64"/>
      <c r="D275" s="71"/>
      <c r="E275" s="71"/>
      <c r="F275" s="166"/>
      <c r="G275" s="142"/>
      <c r="H275" s="123"/>
      <c r="K275" s="224"/>
    </row>
    <row r="276" spans="1:11" s="3" customFormat="1" x14ac:dyDescent="0.2">
      <c r="A276" s="8">
        <v>5512</v>
      </c>
      <c r="B276" s="49">
        <v>5132</v>
      </c>
      <c r="C276" s="67" t="s">
        <v>43</v>
      </c>
      <c r="D276" s="71">
        <v>40</v>
      </c>
      <c r="E276" s="71">
        <f>40+28</f>
        <v>68</v>
      </c>
      <c r="F276" s="165">
        <v>67446.75</v>
      </c>
      <c r="G276" s="142">
        <v>65</v>
      </c>
      <c r="H276" s="123"/>
      <c r="K276" s="224"/>
    </row>
    <row r="277" spans="1:11" s="3" customFormat="1" x14ac:dyDescent="0.2">
      <c r="A277" s="116">
        <v>5512</v>
      </c>
      <c r="B277" s="117">
        <v>5132</v>
      </c>
      <c r="C277" s="118" t="s">
        <v>281</v>
      </c>
      <c r="D277" s="71">
        <v>0</v>
      </c>
      <c r="E277" s="211">
        <f>108+6</f>
        <v>114</v>
      </c>
      <c r="F277" s="225">
        <f>153866.25-24319</f>
        <v>129547.25</v>
      </c>
      <c r="G277" s="142">
        <v>0</v>
      </c>
      <c r="H277" s="123"/>
      <c r="K277" s="224"/>
    </row>
    <row r="278" spans="1:11" s="137" customFormat="1" x14ac:dyDescent="0.2">
      <c r="A278" s="135">
        <v>5512</v>
      </c>
      <c r="B278" s="136">
        <v>5132</v>
      </c>
      <c r="C278" s="138" t="s">
        <v>280</v>
      </c>
      <c r="D278" s="129">
        <v>0</v>
      </c>
      <c r="E278" s="212">
        <v>40</v>
      </c>
      <c r="F278" s="226">
        <v>24319</v>
      </c>
      <c r="G278" s="142">
        <v>0</v>
      </c>
      <c r="H278" s="123"/>
      <c r="K278" s="263"/>
    </row>
    <row r="279" spans="1:11" s="3" customFormat="1" x14ac:dyDescent="0.2">
      <c r="A279" s="52">
        <v>5512</v>
      </c>
      <c r="B279" s="53">
        <v>5137</v>
      </c>
      <c r="C279" s="50" t="s">
        <v>44</v>
      </c>
      <c r="D279" s="71">
        <v>60</v>
      </c>
      <c r="E279" s="71">
        <v>60</v>
      </c>
      <c r="F279" s="165">
        <v>5600</v>
      </c>
      <c r="G279" s="142">
        <v>60</v>
      </c>
      <c r="H279" s="123"/>
      <c r="K279" s="224"/>
    </row>
    <row r="280" spans="1:11" s="3" customFormat="1" x14ac:dyDescent="0.2">
      <c r="A280" s="116">
        <v>5512</v>
      </c>
      <c r="B280" s="117">
        <v>5137</v>
      </c>
      <c r="C280" s="118" t="s">
        <v>209</v>
      </c>
      <c r="D280" s="71">
        <v>0</v>
      </c>
      <c r="E280" s="211">
        <f>70+11.5</f>
        <v>81.5</v>
      </c>
      <c r="F280" s="225">
        <v>81570.75</v>
      </c>
      <c r="G280" s="142">
        <v>0</v>
      </c>
      <c r="H280" s="123"/>
      <c r="K280" s="224"/>
    </row>
    <row r="281" spans="1:11" s="3" customFormat="1" x14ac:dyDescent="0.2">
      <c r="A281" s="116">
        <v>5512</v>
      </c>
      <c r="B281" s="117">
        <v>5137</v>
      </c>
      <c r="C281" s="118" t="s">
        <v>327</v>
      </c>
      <c r="D281" s="71">
        <v>0</v>
      </c>
      <c r="E281" s="211">
        <v>26.6</v>
      </c>
      <c r="F281" s="225">
        <v>26633</v>
      </c>
      <c r="G281" s="142">
        <v>0</v>
      </c>
      <c r="H281" s="123"/>
      <c r="K281" s="224"/>
    </row>
    <row r="282" spans="1:11" s="3" customFormat="1" x14ac:dyDescent="0.2">
      <c r="A282" s="52">
        <v>5512</v>
      </c>
      <c r="B282" s="53">
        <v>5139</v>
      </c>
      <c r="C282" s="50" t="s">
        <v>45</v>
      </c>
      <c r="D282" s="71">
        <v>60</v>
      </c>
      <c r="E282" s="71">
        <f>60-32</f>
        <v>28</v>
      </c>
      <c r="F282" s="165">
        <v>10002</v>
      </c>
      <c r="G282" s="142">
        <v>60</v>
      </c>
      <c r="H282" s="123"/>
      <c r="K282" s="224"/>
    </row>
    <row r="283" spans="1:11" s="3" customFormat="1" x14ac:dyDescent="0.2">
      <c r="A283" s="116">
        <v>5512</v>
      </c>
      <c r="B283" s="117">
        <v>5139</v>
      </c>
      <c r="C283" s="118" t="s">
        <v>210</v>
      </c>
      <c r="D283" s="71">
        <v>0</v>
      </c>
      <c r="E283" s="211">
        <f>10+21.5</f>
        <v>31.5</v>
      </c>
      <c r="F283" s="225">
        <v>31523</v>
      </c>
      <c r="G283" s="142">
        <v>0</v>
      </c>
      <c r="H283" s="123"/>
      <c r="K283" s="224"/>
    </row>
    <row r="284" spans="1:11" s="3" customFormat="1" x14ac:dyDescent="0.2">
      <c r="A284" s="52">
        <v>5512</v>
      </c>
      <c r="B284" s="53">
        <v>5151</v>
      </c>
      <c r="C284" s="50" t="s">
        <v>10</v>
      </c>
      <c r="D284" s="71">
        <v>10</v>
      </c>
      <c r="E284" s="71">
        <v>10</v>
      </c>
      <c r="F284" s="165">
        <v>9035</v>
      </c>
      <c r="G284" s="142">
        <v>10</v>
      </c>
      <c r="H284" s="123"/>
      <c r="K284" s="224"/>
    </row>
    <row r="285" spans="1:11" s="3" customFormat="1" x14ac:dyDescent="0.2">
      <c r="A285" s="52">
        <v>5512</v>
      </c>
      <c r="B285" s="53">
        <v>5153</v>
      </c>
      <c r="C285" s="50" t="s">
        <v>11</v>
      </c>
      <c r="D285" s="71">
        <v>300</v>
      </c>
      <c r="E285" s="71">
        <v>300</v>
      </c>
      <c r="F285" s="165">
        <v>163100</v>
      </c>
      <c r="G285" s="142">
        <v>250</v>
      </c>
      <c r="H285" s="123"/>
      <c r="K285" s="224"/>
    </row>
    <row r="286" spans="1:11" s="3" customFormat="1" x14ac:dyDescent="0.2">
      <c r="A286" s="52">
        <v>5512</v>
      </c>
      <c r="B286" s="53">
        <v>5154</v>
      </c>
      <c r="C286" s="50" t="s">
        <v>12</v>
      </c>
      <c r="D286" s="71">
        <v>70</v>
      </c>
      <c r="E286" s="71">
        <v>70</v>
      </c>
      <c r="F286" s="165">
        <v>33455</v>
      </c>
      <c r="G286" s="142">
        <v>60</v>
      </c>
      <c r="H286" s="123"/>
      <c r="K286" s="224"/>
    </row>
    <row r="287" spans="1:11" s="3" customFormat="1" x14ac:dyDescent="0.2">
      <c r="A287" s="52">
        <v>5512</v>
      </c>
      <c r="B287" s="53">
        <v>5156</v>
      </c>
      <c r="C287" s="50" t="s">
        <v>46</v>
      </c>
      <c r="D287" s="71">
        <v>80</v>
      </c>
      <c r="E287" s="71">
        <v>80</v>
      </c>
      <c r="F287" s="165">
        <v>41026.58</v>
      </c>
      <c r="G287" s="142">
        <v>80</v>
      </c>
      <c r="H287" s="123"/>
      <c r="K287" s="224"/>
    </row>
    <row r="288" spans="1:11" s="3" customFormat="1" x14ac:dyDescent="0.2">
      <c r="A288" s="52">
        <v>5512</v>
      </c>
      <c r="B288" s="53">
        <v>5162</v>
      </c>
      <c r="C288" s="50" t="s">
        <v>98</v>
      </c>
      <c r="D288" s="71">
        <v>22</v>
      </c>
      <c r="E288" s="71">
        <v>22</v>
      </c>
      <c r="F288" s="165">
        <v>16771.98</v>
      </c>
      <c r="G288" s="142">
        <v>22</v>
      </c>
      <c r="H288" s="123"/>
      <c r="K288" s="224"/>
    </row>
    <row r="289" spans="1:11" s="3" customFormat="1" x14ac:dyDescent="0.2">
      <c r="A289" s="52">
        <v>5512</v>
      </c>
      <c r="B289" s="53">
        <v>5163</v>
      </c>
      <c r="C289" s="50" t="s">
        <v>127</v>
      </c>
      <c r="D289" s="71">
        <v>12</v>
      </c>
      <c r="E289" s="71">
        <v>12</v>
      </c>
      <c r="F289" s="165">
        <v>10840</v>
      </c>
      <c r="G289" s="142">
        <v>12</v>
      </c>
      <c r="H289" s="123"/>
      <c r="K289" s="224"/>
    </row>
    <row r="290" spans="1:11" s="3" customFormat="1" x14ac:dyDescent="0.2">
      <c r="A290" s="52">
        <v>5512</v>
      </c>
      <c r="B290" s="53">
        <v>5167</v>
      </c>
      <c r="C290" s="50" t="s">
        <v>56</v>
      </c>
      <c r="D290" s="71">
        <v>8</v>
      </c>
      <c r="E290" s="71">
        <v>8</v>
      </c>
      <c r="F290" s="165">
        <v>1500</v>
      </c>
      <c r="G290" s="142">
        <v>8</v>
      </c>
      <c r="H290" s="123"/>
      <c r="K290" s="224"/>
    </row>
    <row r="291" spans="1:11" s="3" customFormat="1" ht="30" x14ac:dyDescent="0.2">
      <c r="A291" s="52">
        <v>5512</v>
      </c>
      <c r="B291" s="53">
        <v>5168</v>
      </c>
      <c r="C291" s="50" t="s">
        <v>85</v>
      </c>
      <c r="D291" s="71">
        <v>19</v>
      </c>
      <c r="E291" s="71">
        <v>19</v>
      </c>
      <c r="F291" s="165">
        <v>17512.330000000002</v>
      </c>
      <c r="G291" s="142">
        <v>20</v>
      </c>
      <c r="H291" s="123"/>
      <c r="K291" s="224"/>
    </row>
    <row r="292" spans="1:11" s="3" customFormat="1" x14ac:dyDescent="0.2">
      <c r="A292" s="52">
        <v>5512</v>
      </c>
      <c r="B292" s="53">
        <v>5169</v>
      </c>
      <c r="C292" s="50" t="s">
        <v>254</v>
      </c>
      <c r="D292" s="71">
        <f>60+75</f>
        <v>135</v>
      </c>
      <c r="E292" s="71">
        <f>60+75</f>
        <v>135</v>
      </c>
      <c r="F292" s="165">
        <v>104678.14</v>
      </c>
      <c r="G292" s="142">
        <v>140</v>
      </c>
      <c r="H292" s="123"/>
      <c r="K292" s="224"/>
    </row>
    <row r="293" spans="1:11" s="3" customFormat="1" x14ac:dyDescent="0.2">
      <c r="A293" s="227">
        <v>5512</v>
      </c>
      <c r="B293" s="228">
        <v>5159</v>
      </c>
      <c r="C293" s="229" t="s">
        <v>325</v>
      </c>
      <c r="D293" s="230">
        <v>0</v>
      </c>
      <c r="E293" s="230">
        <v>2.5</v>
      </c>
      <c r="F293" s="225">
        <v>2560</v>
      </c>
      <c r="G293" s="142">
        <v>0</v>
      </c>
      <c r="H293" s="123"/>
      <c r="K293" s="224"/>
    </row>
    <row r="294" spans="1:11" s="3" customFormat="1" ht="30" x14ac:dyDescent="0.2">
      <c r="A294" s="52">
        <v>5512</v>
      </c>
      <c r="B294" s="53">
        <v>5171</v>
      </c>
      <c r="C294" s="50" t="s">
        <v>320</v>
      </c>
      <c r="D294" s="71">
        <v>80</v>
      </c>
      <c r="E294" s="71">
        <v>80</v>
      </c>
      <c r="F294" s="165">
        <v>11220.33</v>
      </c>
      <c r="G294" s="142">
        <v>85</v>
      </c>
      <c r="H294" s="123"/>
      <c r="K294" s="224"/>
    </row>
    <row r="295" spans="1:11" s="3" customFormat="1" x14ac:dyDescent="0.2">
      <c r="A295" s="116">
        <v>5512</v>
      </c>
      <c r="B295" s="117">
        <v>5171</v>
      </c>
      <c r="C295" s="118" t="s">
        <v>229</v>
      </c>
      <c r="D295" s="71">
        <v>0</v>
      </c>
      <c r="E295" s="211">
        <f>126.5-41.5</f>
        <v>85</v>
      </c>
      <c r="F295" s="225">
        <v>84980</v>
      </c>
      <c r="G295" s="142">
        <v>0</v>
      </c>
      <c r="H295" s="123"/>
      <c r="K295" s="224"/>
    </row>
    <row r="296" spans="1:11" s="3" customFormat="1" x14ac:dyDescent="0.2">
      <c r="A296" s="52">
        <v>5512</v>
      </c>
      <c r="B296" s="53">
        <v>5175</v>
      </c>
      <c r="C296" s="50" t="s">
        <v>321</v>
      </c>
      <c r="D296" s="71">
        <v>0</v>
      </c>
      <c r="E296" s="71">
        <v>4</v>
      </c>
      <c r="F296" s="165">
        <v>3858</v>
      </c>
      <c r="G296" s="142">
        <v>8</v>
      </c>
      <c r="H296" s="123"/>
      <c r="K296" s="224"/>
    </row>
    <row r="297" spans="1:11" s="3" customFormat="1" ht="31.5" x14ac:dyDescent="0.25">
      <c r="A297" s="52"/>
      <c r="B297" s="53"/>
      <c r="C297" s="89" t="s">
        <v>326</v>
      </c>
      <c r="D297" s="71"/>
      <c r="E297" s="71"/>
      <c r="F297" s="165"/>
      <c r="G297" s="142"/>
      <c r="H297" s="123"/>
      <c r="K297" s="224"/>
    </row>
    <row r="298" spans="1:11" s="3" customFormat="1" x14ac:dyDescent="0.2">
      <c r="A298" s="156">
        <v>5512</v>
      </c>
      <c r="B298" s="210">
        <v>6121</v>
      </c>
      <c r="C298" s="98" t="s">
        <v>203</v>
      </c>
      <c r="D298" s="114">
        <v>1000</v>
      </c>
      <c r="E298" s="114">
        <v>1000</v>
      </c>
      <c r="F298" s="170">
        <v>756067</v>
      </c>
      <c r="G298" s="142">
        <v>0</v>
      </c>
      <c r="H298" s="123"/>
      <c r="K298" s="224"/>
    </row>
    <row r="299" spans="1:11" s="3" customFormat="1" ht="15.75" x14ac:dyDescent="0.25">
      <c r="A299" s="25">
        <v>5512</v>
      </c>
      <c r="B299" s="26"/>
      <c r="C299" s="64" t="s">
        <v>89</v>
      </c>
      <c r="D299" s="72">
        <f>SUM(D276:D298)</f>
        <v>1896</v>
      </c>
      <c r="E299" s="72">
        <f>SUM(E276:E298)</f>
        <v>2277.1</v>
      </c>
      <c r="F299" s="169">
        <f>SUM(F276:F298)</f>
        <v>1633246.1099999999</v>
      </c>
      <c r="G299" s="143">
        <f>SUM(G276:G298)</f>
        <v>880</v>
      </c>
      <c r="H299" s="124">
        <f>G299</f>
        <v>880</v>
      </c>
      <c r="K299" s="224"/>
    </row>
    <row r="300" spans="1:11" s="3" customFormat="1" ht="15.75" x14ac:dyDescent="0.25">
      <c r="A300" s="25"/>
      <c r="B300" s="26"/>
      <c r="C300" s="63"/>
      <c r="D300" s="71"/>
      <c r="E300" s="71"/>
      <c r="F300" s="165"/>
      <c r="G300" s="142"/>
      <c r="H300" s="123"/>
      <c r="K300" s="224"/>
    </row>
    <row r="301" spans="1:11" s="3" customFormat="1" x14ac:dyDescent="0.2">
      <c r="A301" s="8">
        <v>6112</v>
      </c>
      <c r="B301" s="49">
        <v>5023</v>
      </c>
      <c r="C301" s="67" t="s">
        <v>63</v>
      </c>
      <c r="D301" s="71">
        <v>3586</v>
      </c>
      <c r="E301" s="71">
        <v>3586</v>
      </c>
      <c r="F301" s="165">
        <v>3501195</v>
      </c>
      <c r="G301" s="142">
        <f>3586+225</f>
        <v>3811</v>
      </c>
      <c r="H301" s="123"/>
      <c r="K301" s="224"/>
    </row>
    <row r="302" spans="1:11" s="2" customFormat="1" x14ac:dyDescent="0.2">
      <c r="A302" s="52">
        <v>6112</v>
      </c>
      <c r="B302" s="53">
        <v>5031</v>
      </c>
      <c r="C302" s="50" t="s">
        <v>134</v>
      </c>
      <c r="D302" s="71">
        <v>502</v>
      </c>
      <c r="E302" s="71">
        <v>502</v>
      </c>
      <c r="F302" s="165">
        <v>483436</v>
      </c>
      <c r="G302" s="142">
        <v>526</v>
      </c>
      <c r="H302" s="123"/>
      <c r="K302" s="221"/>
    </row>
    <row r="303" spans="1:11" s="2" customFormat="1" x14ac:dyDescent="0.2">
      <c r="A303" s="52">
        <v>6112</v>
      </c>
      <c r="B303" s="53">
        <v>5032</v>
      </c>
      <c r="C303" s="50" t="s">
        <v>33</v>
      </c>
      <c r="D303" s="71">
        <v>323</v>
      </c>
      <c r="E303" s="71">
        <v>323</v>
      </c>
      <c r="F303" s="165">
        <v>315101</v>
      </c>
      <c r="G303" s="142">
        <f>3811*0.09</f>
        <v>342.99</v>
      </c>
      <c r="H303" s="123"/>
      <c r="K303" s="221"/>
    </row>
    <row r="304" spans="1:11" s="2" customFormat="1" x14ac:dyDescent="0.2">
      <c r="A304" s="52">
        <v>6112</v>
      </c>
      <c r="B304" s="53">
        <v>5139</v>
      </c>
      <c r="C304" s="50" t="s">
        <v>4</v>
      </c>
      <c r="D304" s="71">
        <v>3</v>
      </c>
      <c r="E304" s="71">
        <v>3</v>
      </c>
      <c r="F304" s="165">
        <v>0</v>
      </c>
      <c r="G304" s="142">
        <v>3</v>
      </c>
      <c r="H304" s="123"/>
      <c r="K304" s="221"/>
    </row>
    <row r="305" spans="1:11" s="2" customFormat="1" x14ac:dyDescent="0.2">
      <c r="A305" s="52">
        <v>6112</v>
      </c>
      <c r="B305" s="53">
        <v>5156</v>
      </c>
      <c r="C305" s="50" t="s">
        <v>48</v>
      </c>
      <c r="D305" s="71">
        <v>14</v>
      </c>
      <c r="E305" s="71">
        <v>14</v>
      </c>
      <c r="F305" s="165">
        <v>10405.030000000001</v>
      </c>
      <c r="G305" s="142">
        <v>16</v>
      </c>
      <c r="H305" s="123"/>
      <c r="K305" s="221"/>
    </row>
    <row r="306" spans="1:11" s="2" customFormat="1" x14ac:dyDescent="0.2">
      <c r="A306" s="52">
        <v>6112</v>
      </c>
      <c r="B306" s="53">
        <v>5168</v>
      </c>
      <c r="C306" s="50" t="s">
        <v>72</v>
      </c>
      <c r="D306" s="71">
        <v>40</v>
      </c>
      <c r="E306" s="71">
        <f>40-17</f>
        <v>23</v>
      </c>
      <c r="F306" s="165">
        <v>8125</v>
      </c>
      <c r="G306" s="142">
        <v>35</v>
      </c>
      <c r="H306" s="123"/>
      <c r="K306" s="221"/>
    </row>
    <row r="307" spans="1:11" s="2" customFormat="1" x14ac:dyDescent="0.2">
      <c r="A307" s="52">
        <v>6112</v>
      </c>
      <c r="B307" s="53">
        <v>5169</v>
      </c>
      <c r="C307" s="50" t="s">
        <v>37</v>
      </c>
      <c r="D307" s="71">
        <v>12</v>
      </c>
      <c r="E307" s="71">
        <f>12+17</f>
        <v>29</v>
      </c>
      <c r="F307" s="165">
        <v>28463</v>
      </c>
      <c r="G307" s="142">
        <v>30</v>
      </c>
      <c r="H307" s="123"/>
      <c r="K307" s="221"/>
    </row>
    <row r="308" spans="1:11" s="2" customFormat="1" x14ac:dyDescent="0.2">
      <c r="A308" s="52">
        <v>6112</v>
      </c>
      <c r="B308" s="53">
        <v>5173</v>
      </c>
      <c r="C308" s="50" t="s">
        <v>22</v>
      </c>
      <c r="D308" s="71">
        <v>6</v>
      </c>
      <c r="E308" s="71">
        <v>6</v>
      </c>
      <c r="F308" s="165">
        <v>2140</v>
      </c>
      <c r="G308" s="142">
        <v>5.6</v>
      </c>
      <c r="H308" s="123"/>
      <c r="K308" s="221"/>
    </row>
    <row r="309" spans="1:11" s="2" customFormat="1" x14ac:dyDescent="0.2">
      <c r="A309" s="52">
        <v>6112</v>
      </c>
      <c r="B309" s="53">
        <v>5175</v>
      </c>
      <c r="C309" s="50" t="s">
        <v>13</v>
      </c>
      <c r="D309" s="71">
        <v>20</v>
      </c>
      <c r="E309" s="71">
        <v>20</v>
      </c>
      <c r="F309" s="165">
        <v>11061</v>
      </c>
      <c r="G309" s="142">
        <v>20</v>
      </c>
      <c r="H309" s="123"/>
      <c r="K309" s="221"/>
    </row>
    <row r="310" spans="1:11" s="2" customFormat="1" x14ac:dyDescent="0.2">
      <c r="A310" s="52">
        <v>6112</v>
      </c>
      <c r="B310" s="53">
        <v>5179</v>
      </c>
      <c r="C310" s="50" t="s">
        <v>366</v>
      </c>
      <c r="D310" s="71">
        <v>0</v>
      </c>
      <c r="E310" s="71">
        <v>20</v>
      </c>
      <c r="F310" s="165">
        <v>20000</v>
      </c>
      <c r="G310" s="142">
        <v>20</v>
      </c>
      <c r="H310" s="123"/>
      <c r="K310" s="221"/>
    </row>
    <row r="311" spans="1:11" s="2" customFormat="1" x14ac:dyDescent="0.2">
      <c r="A311" s="52">
        <v>6112</v>
      </c>
      <c r="B311" s="53">
        <v>5192</v>
      </c>
      <c r="C311" s="50" t="s">
        <v>94</v>
      </c>
      <c r="D311" s="71">
        <v>20</v>
      </c>
      <c r="E311" s="71">
        <f>20-20</f>
        <v>0</v>
      </c>
      <c r="F311" s="165">
        <v>0</v>
      </c>
      <c r="G311" s="142">
        <v>0</v>
      </c>
      <c r="H311" s="123"/>
      <c r="K311" s="221"/>
    </row>
    <row r="312" spans="1:11" s="2" customFormat="1" ht="30" x14ac:dyDescent="0.2">
      <c r="A312" s="52">
        <v>6112</v>
      </c>
      <c r="B312" s="53">
        <v>5222</v>
      </c>
      <c r="C312" s="50" t="s">
        <v>322</v>
      </c>
      <c r="D312" s="71">
        <v>30</v>
      </c>
      <c r="E312" s="71">
        <v>30</v>
      </c>
      <c r="F312" s="165">
        <v>30000</v>
      </c>
      <c r="G312" s="142">
        <v>30</v>
      </c>
      <c r="H312" s="123"/>
      <c r="K312" s="221"/>
    </row>
    <row r="313" spans="1:11" s="2" customFormat="1" ht="30" x14ac:dyDescent="0.2">
      <c r="A313" s="52">
        <v>6112</v>
      </c>
      <c r="B313" s="53">
        <v>5229</v>
      </c>
      <c r="C313" s="50" t="s">
        <v>221</v>
      </c>
      <c r="D313" s="71">
        <v>20</v>
      </c>
      <c r="E313" s="71">
        <v>20</v>
      </c>
      <c r="F313" s="165">
        <f>5000+15000</f>
        <v>20000</v>
      </c>
      <c r="G313" s="142">
        <v>20</v>
      </c>
      <c r="H313" s="123"/>
      <c r="K313" s="221"/>
    </row>
    <row r="314" spans="1:11" s="2" customFormat="1" x14ac:dyDescent="0.2">
      <c r="A314" s="52">
        <v>6112</v>
      </c>
      <c r="B314" s="53">
        <v>5362</v>
      </c>
      <c r="C314" s="50" t="s">
        <v>90</v>
      </c>
      <c r="D314" s="71">
        <v>2.2999999999999998</v>
      </c>
      <c r="E314" s="71">
        <v>2.2999999999999998</v>
      </c>
      <c r="F314" s="165">
        <v>1900</v>
      </c>
      <c r="G314" s="142">
        <v>2.4</v>
      </c>
      <c r="H314" s="123"/>
      <c r="K314" s="221"/>
    </row>
    <row r="315" spans="1:11" s="2" customFormat="1" x14ac:dyDescent="0.2">
      <c r="A315" s="52">
        <v>6112</v>
      </c>
      <c r="B315" s="53">
        <v>5492</v>
      </c>
      <c r="C315" s="50" t="s">
        <v>97</v>
      </c>
      <c r="D315" s="71">
        <v>100</v>
      </c>
      <c r="E315" s="71">
        <v>100</v>
      </c>
      <c r="F315" s="165">
        <v>97000</v>
      </c>
      <c r="G315" s="142">
        <v>100</v>
      </c>
      <c r="H315" s="123"/>
      <c r="K315" s="221"/>
    </row>
    <row r="316" spans="1:11" s="2" customFormat="1" x14ac:dyDescent="0.2">
      <c r="A316" s="52">
        <v>6112</v>
      </c>
      <c r="B316" s="53">
        <v>5499</v>
      </c>
      <c r="C316" s="50" t="s">
        <v>178</v>
      </c>
      <c r="D316" s="71">
        <v>34</v>
      </c>
      <c r="E316" s="71">
        <v>34</v>
      </c>
      <c r="F316" s="165">
        <v>34000</v>
      </c>
      <c r="G316" s="142">
        <v>34</v>
      </c>
      <c r="H316" s="123"/>
      <c r="K316" s="221"/>
    </row>
    <row r="317" spans="1:11" s="3" customFormat="1" x14ac:dyDescent="0.2">
      <c r="A317" s="156">
        <v>6112</v>
      </c>
      <c r="B317" s="210">
        <v>6123</v>
      </c>
      <c r="C317" s="98" t="s">
        <v>362</v>
      </c>
      <c r="D317" s="114">
        <v>0</v>
      </c>
      <c r="E317" s="114">
        <v>0</v>
      </c>
      <c r="F317" s="170">
        <v>0</v>
      </c>
      <c r="G317" s="151">
        <v>539</v>
      </c>
      <c r="H317" s="123"/>
      <c r="K317" s="224"/>
    </row>
    <row r="318" spans="1:11" s="2" customFormat="1" ht="15.75" x14ac:dyDescent="0.25">
      <c r="A318" s="25">
        <v>6112</v>
      </c>
      <c r="B318" s="26"/>
      <c r="C318" s="62" t="s">
        <v>26</v>
      </c>
      <c r="D318" s="72">
        <f>SUM(D301:D317)</f>
        <v>4712.3</v>
      </c>
      <c r="E318" s="72">
        <f>SUM(E301:E317)</f>
        <v>4712.3</v>
      </c>
      <c r="F318" s="169">
        <f>SUM(F301:F317)</f>
        <v>4562826.03</v>
      </c>
      <c r="G318" s="143">
        <f>SUM(G301:G317)</f>
        <v>5534.99</v>
      </c>
      <c r="H318" s="124">
        <f>G318</f>
        <v>5534.99</v>
      </c>
      <c r="K318" s="221"/>
    </row>
    <row r="319" spans="1:11" s="2" customFormat="1" ht="15.75" x14ac:dyDescent="0.25">
      <c r="A319" s="25"/>
      <c r="B319" s="120"/>
      <c r="C319" s="62"/>
      <c r="D319" s="72"/>
      <c r="E319" s="72"/>
      <c r="F319" s="169"/>
      <c r="G319" s="142"/>
      <c r="H319" s="123"/>
      <c r="K319" s="221"/>
    </row>
    <row r="320" spans="1:11" s="2" customFormat="1" ht="15.75" x14ac:dyDescent="0.25">
      <c r="A320" s="28">
        <v>6115</v>
      </c>
      <c r="B320" s="121"/>
      <c r="C320" s="64" t="s">
        <v>292</v>
      </c>
      <c r="D320" s="72">
        <v>0</v>
      </c>
      <c r="E320" s="72">
        <v>308</v>
      </c>
      <c r="F320" s="169">
        <v>196056.81</v>
      </c>
      <c r="G320" s="143">
        <v>0</v>
      </c>
      <c r="H320" s="124">
        <v>0</v>
      </c>
      <c r="K320" s="221"/>
    </row>
    <row r="321" spans="1:11" s="2" customFormat="1" x14ac:dyDescent="0.2">
      <c r="A321" s="8"/>
      <c r="B321" s="49"/>
      <c r="C321" s="63"/>
      <c r="D321" s="71"/>
      <c r="E321" s="71"/>
      <c r="F321" s="165"/>
      <c r="G321" s="142"/>
      <c r="H321" s="123"/>
      <c r="K321" s="221"/>
    </row>
    <row r="322" spans="1:11" s="2" customFormat="1" ht="15.75" x14ac:dyDescent="0.25">
      <c r="A322" s="8">
        <v>6117</v>
      </c>
      <c r="B322" s="121"/>
      <c r="C322" s="130" t="s">
        <v>276</v>
      </c>
      <c r="D322" s="72">
        <v>0</v>
      </c>
      <c r="E322" s="72">
        <v>217.5</v>
      </c>
      <c r="F322" s="169">
        <v>215221.55</v>
      </c>
      <c r="G322" s="143">
        <v>0</v>
      </c>
      <c r="H322" s="124">
        <f>G322</f>
        <v>0</v>
      </c>
      <c r="K322" s="221"/>
    </row>
    <row r="323" spans="1:11" s="2" customFormat="1" x14ac:dyDescent="0.2">
      <c r="A323" s="8"/>
      <c r="B323" s="49"/>
      <c r="C323" s="67"/>
      <c r="D323" s="71"/>
      <c r="E323" s="71"/>
      <c r="F323" s="165"/>
      <c r="G323" s="142"/>
      <c r="H323" s="123"/>
      <c r="K323" s="221"/>
    </row>
    <row r="324" spans="1:11" s="3" customFormat="1" x14ac:dyDescent="0.2">
      <c r="A324" s="8">
        <v>6171</v>
      </c>
      <c r="B324" s="49">
        <v>5011</v>
      </c>
      <c r="C324" s="67" t="s">
        <v>14</v>
      </c>
      <c r="D324" s="71">
        <v>7500</v>
      </c>
      <c r="E324" s="71">
        <v>7500</v>
      </c>
      <c r="F324" s="165">
        <v>7068729</v>
      </c>
      <c r="G324" s="142">
        <f>7500+250</f>
        <v>7750</v>
      </c>
      <c r="H324" s="123"/>
      <c r="K324" s="224"/>
    </row>
    <row r="325" spans="1:11" s="3" customFormat="1" x14ac:dyDescent="0.2">
      <c r="A325" s="52">
        <v>6171</v>
      </c>
      <c r="B325" s="53">
        <v>5021</v>
      </c>
      <c r="C325" s="50" t="s">
        <v>17</v>
      </c>
      <c r="D325" s="71">
        <v>300</v>
      </c>
      <c r="E325" s="71">
        <v>300</v>
      </c>
      <c r="F325" s="165">
        <v>189189</v>
      </c>
      <c r="G325" s="142">
        <v>300</v>
      </c>
      <c r="H325" s="123"/>
      <c r="K325" s="224"/>
    </row>
    <row r="326" spans="1:11" s="3" customFormat="1" x14ac:dyDescent="0.2">
      <c r="A326" s="52">
        <v>6171</v>
      </c>
      <c r="B326" s="53">
        <v>5031</v>
      </c>
      <c r="C326" s="50" t="s">
        <v>134</v>
      </c>
      <c r="D326" s="71">
        <v>1875</v>
      </c>
      <c r="E326" s="71">
        <v>1875</v>
      </c>
      <c r="F326" s="165">
        <v>1743432</v>
      </c>
      <c r="G326" s="142">
        <v>1922</v>
      </c>
      <c r="H326" s="123"/>
      <c r="K326" s="224"/>
    </row>
    <row r="327" spans="1:11" s="3" customFormat="1" x14ac:dyDescent="0.2">
      <c r="A327" s="52">
        <v>6171</v>
      </c>
      <c r="B327" s="53">
        <v>5032</v>
      </c>
      <c r="C327" s="50" t="s">
        <v>33</v>
      </c>
      <c r="D327" s="71">
        <v>695</v>
      </c>
      <c r="E327" s="71">
        <v>695</v>
      </c>
      <c r="F327" s="165">
        <v>639335</v>
      </c>
      <c r="G327" s="142">
        <v>698</v>
      </c>
      <c r="H327" s="123"/>
      <c r="K327" s="224"/>
    </row>
    <row r="328" spans="1:11" s="3" customFormat="1" ht="30" x14ac:dyDescent="0.2">
      <c r="A328" s="52">
        <v>6171</v>
      </c>
      <c r="B328" s="53">
        <v>5038</v>
      </c>
      <c r="C328" s="50" t="s">
        <v>174</v>
      </c>
      <c r="D328" s="71">
        <v>60</v>
      </c>
      <c r="E328" s="71">
        <v>60</v>
      </c>
      <c r="F328" s="165">
        <v>48144</v>
      </c>
      <c r="G328" s="142">
        <v>60</v>
      </c>
      <c r="H328" s="123"/>
      <c r="K328" s="224"/>
    </row>
    <row r="329" spans="1:11" s="3" customFormat="1" x14ac:dyDescent="0.2">
      <c r="A329" s="52">
        <v>6171</v>
      </c>
      <c r="B329" s="53">
        <v>5133</v>
      </c>
      <c r="C329" s="50" t="s">
        <v>180</v>
      </c>
      <c r="D329" s="71">
        <v>1</v>
      </c>
      <c r="E329" s="71">
        <v>1</v>
      </c>
      <c r="F329" s="165">
        <v>0</v>
      </c>
      <c r="G329" s="142">
        <v>1</v>
      </c>
      <c r="H329" s="123"/>
      <c r="K329" s="224"/>
    </row>
    <row r="330" spans="1:11" s="3" customFormat="1" x14ac:dyDescent="0.2">
      <c r="A330" s="52">
        <v>6171</v>
      </c>
      <c r="B330" s="53">
        <v>5134</v>
      </c>
      <c r="C330" s="50" t="s">
        <v>187</v>
      </c>
      <c r="D330" s="71">
        <v>10</v>
      </c>
      <c r="E330" s="71">
        <v>10</v>
      </c>
      <c r="F330" s="165">
        <v>3743</v>
      </c>
      <c r="G330" s="142">
        <v>10</v>
      </c>
      <c r="H330" s="123"/>
      <c r="K330" s="224"/>
    </row>
    <row r="331" spans="1:11" s="3" customFormat="1" x14ac:dyDescent="0.2">
      <c r="A331" s="52">
        <v>6171</v>
      </c>
      <c r="B331" s="53">
        <v>5136</v>
      </c>
      <c r="C331" s="50" t="s">
        <v>171</v>
      </c>
      <c r="D331" s="71">
        <v>11</v>
      </c>
      <c r="E331" s="71">
        <v>11</v>
      </c>
      <c r="F331" s="165">
        <v>12044</v>
      </c>
      <c r="G331" s="142">
        <v>15</v>
      </c>
      <c r="H331" s="123"/>
      <c r="K331" s="224"/>
    </row>
    <row r="332" spans="1:11" s="3" customFormat="1" x14ac:dyDescent="0.2">
      <c r="A332" s="52">
        <v>6171</v>
      </c>
      <c r="B332" s="53">
        <v>5137</v>
      </c>
      <c r="C332" s="50" t="s">
        <v>35</v>
      </c>
      <c r="D332" s="71">
        <v>190</v>
      </c>
      <c r="E332" s="71">
        <v>190</v>
      </c>
      <c r="F332" s="165">
        <v>164795.20000000001</v>
      </c>
      <c r="G332" s="142">
        <v>190</v>
      </c>
      <c r="H332" s="123"/>
      <c r="K332" s="224"/>
    </row>
    <row r="333" spans="1:11" s="3" customFormat="1" x14ac:dyDescent="0.2">
      <c r="A333" s="52">
        <v>6171</v>
      </c>
      <c r="B333" s="53">
        <v>5139</v>
      </c>
      <c r="C333" s="50" t="s">
        <v>4</v>
      </c>
      <c r="D333" s="71">
        <v>180</v>
      </c>
      <c r="E333" s="71">
        <v>180</v>
      </c>
      <c r="F333" s="165">
        <v>108082.4</v>
      </c>
      <c r="G333" s="142">
        <v>180</v>
      </c>
      <c r="H333" s="123"/>
      <c r="K333" s="224"/>
    </row>
    <row r="334" spans="1:11" s="3" customFormat="1" x14ac:dyDescent="0.2">
      <c r="A334" s="52">
        <v>6171</v>
      </c>
      <c r="B334" s="53">
        <v>5151</v>
      </c>
      <c r="C334" s="50" t="s">
        <v>10</v>
      </c>
      <c r="D334" s="71">
        <v>60</v>
      </c>
      <c r="E334" s="71">
        <v>60</v>
      </c>
      <c r="F334" s="165">
        <v>57794</v>
      </c>
      <c r="G334" s="142">
        <v>60</v>
      </c>
      <c r="H334" s="123"/>
      <c r="K334" s="224"/>
    </row>
    <row r="335" spans="1:11" s="3" customFormat="1" x14ac:dyDescent="0.2">
      <c r="A335" s="52">
        <v>6171</v>
      </c>
      <c r="B335" s="53">
        <v>5153</v>
      </c>
      <c r="C335" s="50" t="s">
        <v>11</v>
      </c>
      <c r="D335" s="71">
        <v>450</v>
      </c>
      <c r="E335" s="71">
        <v>450</v>
      </c>
      <c r="F335" s="165">
        <v>223688</v>
      </c>
      <c r="G335" s="142">
        <v>250</v>
      </c>
      <c r="H335" s="123"/>
      <c r="K335" s="224"/>
    </row>
    <row r="336" spans="1:11" s="3" customFormat="1" x14ac:dyDescent="0.2">
      <c r="A336" s="52">
        <v>6171</v>
      </c>
      <c r="B336" s="53">
        <v>5154</v>
      </c>
      <c r="C336" s="50" t="s">
        <v>12</v>
      </c>
      <c r="D336" s="71">
        <v>215</v>
      </c>
      <c r="E336" s="71">
        <v>215</v>
      </c>
      <c r="F336" s="165">
        <v>165714</v>
      </c>
      <c r="G336" s="142">
        <v>200</v>
      </c>
      <c r="H336" s="123"/>
      <c r="K336" s="224"/>
    </row>
    <row r="337" spans="1:11" s="3" customFormat="1" x14ac:dyDescent="0.2">
      <c r="A337" s="52">
        <v>6171</v>
      </c>
      <c r="B337" s="53">
        <v>5156</v>
      </c>
      <c r="C337" s="50" t="s">
        <v>21</v>
      </c>
      <c r="D337" s="71">
        <v>16</v>
      </c>
      <c r="E337" s="71">
        <v>16</v>
      </c>
      <c r="F337" s="165">
        <v>16483.54</v>
      </c>
      <c r="G337" s="142">
        <v>18</v>
      </c>
      <c r="H337" s="123"/>
      <c r="K337" s="224"/>
    </row>
    <row r="338" spans="1:11" s="3" customFormat="1" x14ac:dyDescent="0.2">
      <c r="A338" s="52">
        <v>6171</v>
      </c>
      <c r="B338" s="53">
        <v>5161</v>
      </c>
      <c r="C338" s="50" t="s">
        <v>61</v>
      </c>
      <c r="D338" s="71">
        <v>60</v>
      </c>
      <c r="E338" s="71">
        <v>60</v>
      </c>
      <c r="F338" s="165">
        <v>34912</v>
      </c>
      <c r="G338" s="142">
        <v>60</v>
      </c>
      <c r="H338" s="123"/>
      <c r="K338" s="224"/>
    </row>
    <row r="339" spans="1:11" s="3" customFormat="1" x14ac:dyDescent="0.2">
      <c r="A339" s="52">
        <v>6171</v>
      </c>
      <c r="B339" s="53">
        <v>5162</v>
      </c>
      <c r="C339" s="50" t="s">
        <v>98</v>
      </c>
      <c r="D339" s="71">
        <v>125</v>
      </c>
      <c r="E339" s="71">
        <v>125</v>
      </c>
      <c r="F339" s="165">
        <v>89975.39</v>
      </c>
      <c r="G339" s="142">
        <v>120</v>
      </c>
      <c r="H339" s="123"/>
      <c r="K339" s="224"/>
    </row>
    <row r="340" spans="1:11" s="3" customFormat="1" x14ac:dyDescent="0.2">
      <c r="A340" s="52">
        <v>6171</v>
      </c>
      <c r="B340" s="53">
        <v>5164</v>
      </c>
      <c r="C340" s="50" t="s">
        <v>363</v>
      </c>
      <c r="D340" s="71">
        <v>0</v>
      </c>
      <c r="E340" s="71">
        <v>0</v>
      </c>
      <c r="F340" s="165">
        <v>0</v>
      </c>
      <c r="G340" s="142">
        <v>40</v>
      </c>
      <c r="H340" s="123"/>
      <c r="K340" s="224"/>
    </row>
    <row r="341" spans="1:11" s="3" customFormat="1" x14ac:dyDescent="0.2">
      <c r="A341" s="52">
        <v>6171</v>
      </c>
      <c r="B341" s="53">
        <v>5166</v>
      </c>
      <c r="C341" s="50" t="s">
        <v>23</v>
      </c>
      <c r="D341" s="71">
        <v>975</v>
      </c>
      <c r="E341" s="71">
        <v>975</v>
      </c>
      <c r="F341" s="165">
        <v>875888</v>
      </c>
      <c r="G341" s="142">
        <v>975</v>
      </c>
      <c r="H341" s="123"/>
      <c r="K341" s="224"/>
    </row>
    <row r="342" spans="1:11" s="3" customFormat="1" x14ac:dyDescent="0.2">
      <c r="A342" s="52">
        <v>6171</v>
      </c>
      <c r="B342" s="53">
        <v>5167</v>
      </c>
      <c r="C342" s="50" t="s">
        <v>201</v>
      </c>
      <c r="D342" s="71">
        <v>15</v>
      </c>
      <c r="E342" s="71">
        <v>15</v>
      </c>
      <c r="F342" s="165">
        <v>16175.7</v>
      </c>
      <c r="G342" s="142">
        <v>20</v>
      </c>
      <c r="H342" s="123"/>
      <c r="K342" s="224"/>
    </row>
    <row r="343" spans="1:11" s="3" customFormat="1" ht="30" x14ac:dyDescent="0.2">
      <c r="A343" s="52">
        <v>6171</v>
      </c>
      <c r="B343" s="53">
        <v>5168</v>
      </c>
      <c r="C343" s="50" t="s">
        <v>378</v>
      </c>
      <c r="D343" s="71">
        <v>400</v>
      </c>
      <c r="E343" s="71">
        <v>400</v>
      </c>
      <c r="F343" s="165">
        <v>349343.23</v>
      </c>
      <c r="G343" s="142">
        <f>430+200</f>
        <v>630</v>
      </c>
      <c r="H343" s="123"/>
      <c r="K343" s="224"/>
    </row>
    <row r="344" spans="1:11" s="137" customFormat="1" ht="45" x14ac:dyDescent="0.2">
      <c r="A344" s="127">
        <v>6171</v>
      </c>
      <c r="B344" s="128">
        <v>5169</v>
      </c>
      <c r="C344" s="50" t="s">
        <v>379</v>
      </c>
      <c r="D344" s="129">
        <v>1200</v>
      </c>
      <c r="E344" s="129">
        <v>1200</v>
      </c>
      <c r="F344" s="217">
        <v>1001177.65</v>
      </c>
      <c r="G344" s="142">
        <f>1290+160</f>
        <v>1450</v>
      </c>
      <c r="H344" s="123"/>
      <c r="K344" s="263"/>
    </row>
    <row r="345" spans="1:11" s="3" customFormat="1" x14ac:dyDescent="0.2">
      <c r="A345" s="52">
        <v>6171</v>
      </c>
      <c r="B345" s="53">
        <v>5171</v>
      </c>
      <c r="C345" s="50" t="s">
        <v>175</v>
      </c>
      <c r="D345" s="71">
        <v>300</v>
      </c>
      <c r="E345" s="71">
        <v>300</v>
      </c>
      <c r="F345" s="165">
        <v>258932.23</v>
      </c>
      <c r="G345" s="142">
        <v>330</v>
      </c>
      <c r="H345" s="123"/>
      <c r="K345" s="224"/>
    </row>
    <row r="346" spans="1:11" s="3" customFormat="1" x14ac:dyDescent="0.2">
      <c r="A346" s="52">
        <v>6171</v>
      </c>
      <c r="B346" s="53">
        <v>5172</v>
      </c>
      <c r="C346" s="50" t="s">
        <v>176</v>
      </c>
      <c r="D346" s="71">
        <v>14</v>
      </c>
      <c r="E346" s="71">
        <f>14+8</f>
        <v>22</v>
      </c>
      <c r="F346" s="165">
        <v>21322.62</v>
      </c>
      <c r="G346" s="142">
        <v>20</v>
      </c>
      <c r="H346" s="123"/>
      <c r="K346" s="224"/>
    </row>
    <row r="347" spans="1:11" s="3" customFormat="1" x14ac:dyDescent="0.2">
      <c r="A347" s="52">
        <v>6171</v>
      </c>
      <c r="B347" s="53">
        <v>5173</v>
      </c>
      <c r="C347" s="50" t="s">
        <v>22</v>
      </c>
      <c r="D347" s="71">
        <v>6</v>
      </c>
      <c r="E347" s="71">
        <v>6</v>
      </c>
      <c r="F347" s="165">
        <v>476</v>
      </c>
      <c r="G347" s="142">
        <v>6</v>
      </c>
      <c r="H347" s="123"/>
      <c r="K347" s="224"/>
    </row>
    <row r="348" spans="1:11" s="3" customFormat="1" x14ac:dyDescent="0.2">
      <c r="A348" s="52">
        <v>6171</v>
      </c>
      <c r="B348" s="53">
        <v>5175</v>
      </c>
      <c r="C348" s="50" t="s">
        <v>13</v>
      </c>
      <c r="D348" s="71">
        <v>12</v>
      </c>
      <c r="E348" s="71">
        <v>12</v>
      </c>
      <c r="F348" s="165">
        <v>7701</v>
      </c>
      <c r="G348" s="142">
        <v>12</v>
      </c>
      <c r="H348" s="123"/>
      <c r="K348" s="224"/>
    </row>
    <row r="349" spans="1:11" ht="30" x14ac:dyDescent="0.2">
      <c r="A349" s="52">
        <v>6171</v>
      </c>
      <c r="B349" s="53">
        <v>5192</v>
      </c>
      <c r="C349" s="50" t="s">
        <v>364</v>
      </c>
      <c r="D349" s="71">
        <v>35</v>
      </c>
      <c r="E349" s="71">
        <f>35-12</f>
        <v>23</v>
      </c>
      <c r="F349" s="165">
        <f>2500+1264</f>
        <v>3764</v>
      </c>
      <c r="G349" s="142">
        <f>2.5+5.5</f>
        <v>8</v>
      </c>
      <c r="H349" s="123"/>
    </row>
    <row r="350" spans="1:11" s="248" customFormat="1" x14ac:dyDescent="0.2">
      <c r="A350" s="52">
        <v>6171</v>
      </c>
      <c r="B350" s="53">
        <v>5179</v>
      </c>
      <c r="C350" s="50" t="s">
        <v>365</v>
      </c>
      <c r="D350" s="71"/>
      <c r="E350" s="71"/>
      <c r="F350" s="165"/>
      <c r="G350" s="142"/>
      <c r="H350" s="123"/>
      <c r="K350" s="224"/>
    </row>
    <row r="351" spans="1:11" ht="30" x14ac:dyDescent="0.2">
      <c r="A351" s="52">
        <v>6171</v>
      </c>
      <c r="B351" s="53">
        <v>5362</v>
      </c>
      <c r="C351" s="50" t="s">
        <v>227</v>
      </c>
      <c r="D351" s="71">
        <v>10</v>
      </c>
      <c r="E351" s="71">
        <v>10</v>
      </c>
      <c r="F351" s="165">
        <v>0</v>
      </c>
      <c r="G351" s="142">
        <v>10</v>
      </c>
      <c r="H351" s="123"/>
    </row>
    <row r="352" spans="1:11" ht="30" x14ac:dyDescent="0.2">
      <c r="A352" s="52">
        <v>6171</v>
      </c>
      <c r="B352" s="53">
        <v>5365</v>
      </c>
      <c r="C352" s="50" t="s">
        <v>202</v>
      </c>
      <c r="D352" s="71">
        <v>8</v>
      </c>
      <c r="E352" s="71">
        <f>8+4</f>
        <v>12</v>
      </c>
      <c r="F352" s="165">
        <v>11400</v>
      </c>
      <c r="G352" s="142">
        <v>10</v>
      </c>
      <c r="H352" s="123"/>
    </row>
    <row r="353" spans="1:11" x14ac:dyDescent="0.2">
      <c r="A353" s="52">
        <v>6171</v>
      </c>
      <c r="B353" s="53">
        <v>5365</v>
      </c>
      <c r="C353" s="50" t="s">
        <v>278</v>
      </c>
      <c r="D353" s="71">
        <v>0</v>
      </c>
      <c r="E353" s="71">
        <v>1844.8</v>
      </c>
      <c r="F353" s="165">
        <v>1844848.66</v>
      </c>
      <c r="G353" s="142">
        <v>0</v>
      </c>
      <c r="H353" s="123"/>
    </row>
    <row r="354" spans="1:11" s="3" customFormat="1" x14ac:dyDescent="0.2">
      <c r="A354" s="52">
        <v>6171</v>
      </c>
      <c r="B354" s="53">
        <v>5901</v>
      </c>
      <c r="C354" s="50" t="s">
        <v>305</v>
      </c>
      <c r="D354" s="71">
        <v>55</v>
      </c>
      <c r="E354" s="71">
        <v>55</v>
      </c>
      <c r="F354" s="165">
        <v>0</v>
      </c>
      <c r="G354" s="142">
        <v>0</v>
      </c>
      <c r="H354" s="123"/>
      <c r="K354" s="224"/>
    </row>
    <row r="355" spans="1:11" s="3" customFormat="1" x14ac:dyDescent="0.2">
      <c r="A355" s="52">
        <v>6171</v>
      </c>
      <c r="B355" s="53">
        <v>5492</v>
      </c>
      <c r="C355" s="50" t="s">
        <v>188</v>
      </c>
      <c r="D355" s="71">
        <v>20</v>
      </c>
      <c r="E355" s="71">
        <v>20</v>
      </c>
      <c r="F355" s="165">
        <v>10000</v>
      </c>
      <c r="G355" s="142">
        <v>20</v>
      </c>
      <c r="H355" s="123"/>
      <c r="K355" s="224"/>
    </row>
    <row r="356" spans="1:11" s="3" customFormat="1" x14ac:dyDescent="0.2">
      <c r="A356" s="52">
        <v>6171</v>
      </c>
      <c r="B356" s="53">
        <v>5499</v>
      </c>
      <c r="C356" s="50" t="s">
        <v>283</v>
      </c>
      <c r="D356" s="71">
        <v>0</v>
      </c>
      <c r="E356" s="71">
        <v>200</v>
      </c>
      <c r="F356" s="165">
        <v>223025</v>
      </c>
      <c r="G356" s="142">
        <f>235-12</f>
        <v>223</v>
      </c>
      <c r="H356" s="123"/>
      <c r="K356" s="224"/>
    </row>
    <row r="357" spans="1:11" s="3" customFormat="1" x14ac:dyDescent="0.2">
      <c r="A357" s="52">
        <v>6171</v>
      </c>
      <c r="B357" s="53">
        <v>5499</v>
      </c>
      <c r="C357" s="50" t="s">
        <v>177</v>
      </c>
      <c r="D357" s="71">
        <v>415</v>
      </c>
      <c r="E357" s="71">
        <v>415</v>
      </c>
      <c r="F357" s="165">
        <v>396400</v>
      </c>
      <c r="G357" s="142">
        <f>430+12</f>
        <v>442</v>
      </c>
      <c r="H357" s="123"/>
      <c r="K357" s="224"/>
    </row>
    <row r="358" spans="1:11" s="3" customFormat="1" x14ac:dyDescent="0.2">
      <c r="A358" s="52">
        <v>6171</v>
      </c>
      <c r="B358" s="53">
        <v>5909</v>
      </c>
      <c r="C358" s="50" t="s">
        <v>306</v>
      </c>
      <c r="D358" s="71">
        <v>0</v>
      </c>
      <c r="E358" s="71">
        <v>0</v>
      </c>
      <c r="F358" s="165">
        <v>750</v>
      </c>
      <c r="G358" s="142">
        <v>0</v>
      </c>
      <c r="H358" s="123"/>
      <c r="K358" s="224"/>
    </row>
    <row r="359" spans="1:11" s="3" customFormat="1" x14ac:dyDescent="0.2">
      <c r="A359" s="52">
        <v>6171</v>
      </c>
      <c r="B359" s="53">
        <v>6121</v>
      </c>
      <c r="C359" s="97" t="s">
        <v>367</v>
      </c>
      <c r="D359" s="114">
        <v>1200</v>
      </c>
      <c r="E359" s="114">
        <f>1200+900</f>
        <v>2100</v>
      </c>
      <c r="F359" s="170">
        <v>2072838.9</v>
      </c>
      <c r="G359" s="151">
        <v>500</v>
      </c>
      <c r="H359" s="123"/>
      <c r="K359" s="224"/>
    </row>
    <row r="360" spans="1:11" s="3" customFormat="1" x14ac:dyDescent="0.2">
      <c r="A360" s="52">
        <v>6171</v>
      </c>
      <c r="B360" s="53">
        <v>6123</v>
      </c>
      <c r="C360" s="97" t="s">
        <v>362</v>
      </c>
      <c r="D360" s="114">
        <v>0</v>
      </c>
      <c r="E360" s="114">
        <v>0</v>
      </c>
      <c r="F360" s="170">
        <v>0</v>
      </c>
      <c r="G360" s="151">
        <v>259</v>
      </c>
      <c r="H360" s="123"/>
      <c r="K360" s="224"/>
    </row>
    <row r="361" spans="1:11" ht="15.75" x14ac:dyDescent="0.25">
      <c r="A361" s="25">
        <v>6171</v>
      </c>
      <c r="B361" s="26"/>
      <c r="C361" s="62" t="s">
        <v>24</v>
      </c>
      <c r="D361" s="68">
        <f>SUM(D324:D360)</f>
        <v>16413</v>
      </c>
      <c r="E361" s="68">
        <f>SUM(E324:E360)</f>
        <v>19357.8</v>
      </c>
      <c r="F361" s="169">
        <f>SUM(F324:F360)</f>
        <v>17660103.52</v>
      </c>
      <c r="G361" s="152">
        <f>SUM(G324:G360)</f>
        <v>16789</v>
      </c>
      <c r="H361" s="124">
        <f>G361</f>
        <v>16789</v>
      </c>
    </row>
    <row r="362" spans="1:11" ht="15.75" x14ac:dyDescent="0.25">
      <c r="A362" s="25"/>
      <c r="B362" s="26"/>
      <c r="C362" s="62"/>
      <c r="D362" s="71"/>
      <c r="E362" s="71"/>
      <c r="F362" s="169"/>
      <c r="G362" s="142"/>
      <c r="H362" s="123"/>
    </row>
    <row r="363" spans="1:11" x14ac:dyDescent="0.2">
      <c r="A363" s="8">
        <v>6221</v>
      </c>
      <c r="B363" s="10">
        <v>5901</v>
      </c>
      <c r="C363" s="63" t="s">
        <v>307</v>
      </c>
      <c r="D363" s="71">
        <v>264.3</v>
      </c>
      <c r="E363" s="71">
        <v>264.3</v>
      </c>
      <c r="F363" s="165">
        <v>0</v>
      </c>
      <c r="G363" s="142">
        <v>0</v>
      </c>
      <c r="H363" s="123"/>
    </row>
    <row r="364" spans="1:11" ht="15.75" x14ac:dyDescent="0.25">
      <c r="A364" s="28">
        <v>6221</v>
      </c>
      <c r="B364" s="29"/>
      <c r="C364" s="64" t="s">
        <v>181</v>
      </c>
      <c r="D364" s="72">
        <f>SUM(D363:D363)</f>
        <v>264.3</v>
      </c>
      <c r="E364" s="72">
        <f>SUM(E363:E363)</f>
        <v>264.3</v>
      </c>
      <c r="F364" s="169">
        <f>SUM(F363:F363)</f>
        <v>0</v>
      </c>
      <c r="G364" s="143">
        <f>SUM(G363:G363)</f>
        <v>0</v>
      </c>
      <c r="H364" s="124">
        <f>G364</f>
        <v>0</v>
      </c>
    </row>
    <row r="365" spans="1:11" x14ac:dyDescent="0.2">
      <c r="A365" s="8"/>
      <c r="B365" s="10"/>
      <c r="C365" s="63"/>
      <c r="D365" s="71"/>
      <c r="E365" s="71"/>
      <c r="F365" s="165"/>
      <c r="G365" s="142"/>
      <c r="H365" s="123"/>
    </row>
    <row r="366" spans="1:11" s="6" customFormat="1" x14ac:dyDescent="0.2">
      <c r="A366" s="8">
        <v>6310</v>
      </c>
      <c r="B366" s="10">
        <v>5163</v>
      </c>
      <c r="C366" s="63" t="s">
        <v>114</v>
      </c>
      <c r="D366" s="71">
        <v>18</v>
      </c>
      <c r="E366" s="71">
        <v>18</v>
      </c>
      <c r="F366" s="165">
        <v>14956.98</v>
      </c>
      <c r="G366" s="142">
        <v>20</v>
      </c>
      <c r="H366" s="123"/>
      <c r="K366" s="224"/>
    </row>
    <row r="367" spans="1:11" s="2" customFormat="1" ht="15.75" x14ac:dyDescent="0.25">
      <c r="A367" s="25">
        <v>6310</v>
      </c>
      <c r="B367" s="26"/>
      <c r="C367" s="62" t="s">
        <v>49</v>
      </c>
      <c r="D367" s="72">
        <f>SUM(D366)</f>
        <v>18</v>
      </c>
      <c r="E367" s="72">
        <f>SUM(E366)</f>
        <v>18</v>
      </c>
      <c r="F367" s="169">
        <f>SUM(F366)</f>
        <v>14956.98</v>
      </c>
      <c r="G367" s="143">
        <f>SUM(G366)</f>
        <v>20</v>
      </c>
      <c r="H367" s="124">
        <f>G367</f>
        <v>20</v>
      </c>
      <c r="K367" s="221"/>
    </row>
    <row r="368" spans="1:11" s="2" customFormat="1" ht="15.75" x14ac:dyDescent="0.25">
      <c r="A368" s="25"/>
      <c r="B368" s="26"/>
      <c r="C368" s="62"/>
      <c r="D368" s="71"/>
      <c r="E368" s="71"/>
      <c r="F368" s="169"/>
      <c r="G368" s="142"/>
      <c r="H368" s="123"/>
      <c r="K368" s="221"/>
    </row>
    <row r="369" spans="1:11" s="2" customFormat="1" x14ac:dyDescent="0.2">
      <c r="A369" s="8">
        <v>6320</v>
      </c>
      <c r="B369" s="10">
        <v>5163</v>
      </c>
      <c r="C369" s="63" t="s">
        <v>111</v>
      </c>
      <c r="D369" s="71">
        <v>620</v>
      </c>
      <c r="E369" s="71">
        <v>620</v>
      </c>
      <c r="F369" s="165">
        <v>584439</v>
      </c>
      <c r="G369" s="142">
        <f>620+350</f>
        <v>970</v>
      </c>
      <c r="H369" s="123"/>
      <c r="K369" s="221"/>
    </row>
    <row r="370" spans="1:11" s="2" customFormat="1" ht="15.75" x14ac:dyDescent="0.25">
      <c r="A370" s="25">
        <v>6320</v>
      </c>
      <c r="B370" s="26"/>
      <c r="C370" s="62" t="s">
        <v>189</v>
      </c>
      <c r="D370" s="72">
        <f>SUM(D369)</f>
        <v>620</v>
      </c>
      <c r="E370" s="72">
        <f>SUM(E369)</f>
        <v>620</v>
      </c>
      <c r="F370" s="169">
        <f>SUM(F369)</f>
        <v>584439</v>
      </c>
      <c r="G370" s="143">
        <f>SUM(G369)</f>
        <v>970</v>
      </c>
      <c r="H370" s="124">
        <f>G370</f>
        <v>970</v>
      </c>
      <c r="K370" s="221"/>
    </row>
    <row r="371" spans="1:11" s="2" customFormat="1" ht="15.75" x14ac:dyDescent="0.25">
      <c r="A371" s="27"/>
      <c r="B371" s="26"/>
      <c r="C371" s="62"/>
      <c r="D371" s="71"/>
      <c r="E371" s="71"/>
      <c r="F371" s="165"/>
      <c r="G371" s="142"/>
      <c r="H371" s="123"/>
      <c r="K371" s="221"/>
    </row>
    <row r="372" spans="1:11" s="5" customFormat="1" x14ac:dyDescent="0.2">
      <c r="A372" s="27">
        <v>6409</v>
      </c>
      <c r="B372" s="30">
        <v>5901</v>
      </c>
      <c r="C372" s="66" t="s">
        <v>38</v>
      </c>
      <c r="D372" s="71">
        <v>3000</v>
      </c>
      <c r="E372" s="71">
        <f>3000+31028.8-3200-2000-9000-900-12100-200-1200-5.5+3350.4+446-2000-200-350+671-69.1</f>
        <v>7271.6000000000022</v>
      </c>
      <c r="F372" s="165">
        <v>0</v>
      </c>
      <c r="G372" s="142">
        <v>3000</v>
      </c>
      <c r="H372" s="123"/>
      <c r="K372" s="221"/>
    </row>
    <row r="373" spans="1:11" s="5" customFormat="1" x14ac:dyDescent="0.2">
      <c r="A373" s="27">
        <v>6409</v>
      </c>
      <c r="B373" s="30">
        <v>5904</v>
      </c>
      <c r="C373" s="66" t="s">
        <v>332</v>
      </c>
      <c r="D373" s="71">
        <v>0</v>
      </c>
      <c r="E373" s="71">
        <v>69.099999999999994</v>
      </c>
      <c r="F373" s="165">
        <v>69089.31</v>
      </c>
      <c r="G373" s="142">
        <v>0</v>
      </c>
      <c r="H373" s="123"/>
      <c r="K373" s="221"/>
    </row>
    <row r="374" spans="1:11" s="5" customFormat="1" ht="15.75" x14ac:dyDescent="0.25">
      <c r="A374" s="25">
        <v>6409</v>
      </c>
      <c r="B374" s="26"/>
      <c r="C374" s="62" t="s">
        <v>39</v>
      </c>
      <c r="D374" s="72">
        <f>SUM(D372:D373)</f>
        <v>3000</v>
      </c>
      <c r="E374" s="72">
        <f t="shared" ref="E374:G374" si="4">SUM(E372:E373)</f>
        <v>7340.7000000000025</v>
      </c>
      <c r="F374" s="169">
        <f t="shared" si="4"/>
        <v>69089.31</v>
      </c>
      <c r="G374" s="143">
        <f t="shared" si="4"/>
        <v>3000</v>
      </c>
      <c r="H374" s="124">
        <f>G374</f>
        <v>3000</v>
      </c>
      <c r="K374" s="221"/>
    </row>
    <row r="375" spans="1:11" s="5" customFormat="1" ht="15.75" x14ac:dyDescent="0.25">
      <c r="A375" s="27"/>
      <c r="B375" s="26"/>
      <c r="C375" s="62"/>
      <c r="D375" s="71"/>
      <c r="E375" s="71"/>
      <c r="F375" s="165"/>
      <c r="G375" s="142"/>
      <c r="H375" s="123"/>
      <c r="K375" s="221"/>
    </row>
    <row r="376" spans="1:11" s="5" customFormat="1" x14ac:dyDescent="0.2">
      <c r="A376" s="8">
        <v>6330</v>
      </c>
      <c r="B376" s="49">
        <v>5342</v>
      </c>
      <c r="C376" s="67" t="s">
        <v>42</v>
      </c>
      <c r="D376" s="71">
        <f>'Návrh 2025 příjmy '!D43</f>
        <v>435</v>
      </c>
      <c r="E376" s="71">
        <f>'Návrh 2025 příjmy '!E43</f>
        <v>435</v>
      </c>
      <c r="F376" s="260">
        <f>'Návrh 2025 příjmy '!F43</f>
        <v>469640</v>
      </c>
      <c r="G376" s="142">
        <f>'Návrh 2025 příjmy '!G43</f>
        <v>490</v>
      </c>
      <c r="H376" s="123"/>
      <c r="K376" s="221"/>
    </row>
    <row r="377" spans="1:11" s="5" customFormat="1" x14ac:dyDescent="0.2">
      <c r="A377" s="52">
        <v>6330</v>
      </c>
      <c r="B377" s="53">
        <v>5345</v>
      </c>
      <c r="C377" s="50" t="s">
        <v>79</v>
      </c>
      <c r="D377" s="71">
        <f>'Návrh 2025 příjmy '!D45</f>
        <v>455</v>
      </c>
      <c r="E377" s="71">
        <f>'Návrh 2025 příjmy '!E45</f>
        <v>455</v>
      </c>
      <c r="F377" s="260">
        <f>'Návrh 2025 příjmy '!F45</f>
        <v>430400</v>
      </c>
      <c r="G377" s="142">
        <f>'Návrh 2025 příjmy '!G45</f>
        <v>476</v>
      </c>
      <c r="H377" s="123"/>
      <c r="K377" s="221"/>
    </row>
    <row r="378" spans="1:11" s="5" customFormat="1" x14ac:dyDescent="0.2">
      <c r="A378" s="52"/>
      <c r="B378" s="53"/>
      <c r="C378" s="50" t="s">
        <v>184</v>
      </c>
      <c r="D378" s="71">
        <f>'Návrh 2025 příjmy '!D41</f>
        <v>3704</v>
      </c>
      <c r="E378" s="71">
        <f>'Návrh 2025 příjmy '!E41</f>
        <v>3704</v>
      </c>
      <c r="F378" s="260">
        <f>'Návrh 2025 příjmy '!F41</f>
        <v>3361361.28</v>
      </c>
      <c r="G378" s="142">
        <f>'Návrh 2025 příjmy '!G41</f>
        <v>2916</v>
      </c>
      <c r="H378" s="123"/>
      <c r="K378" s="221"/>
    </row>
    <row r="379" spans="1:11" s="5" customFormat="1" x14ac:dyDescent="0.2">
      <c r="A379" s="52">
        <v>6330</v>
      </c>
      <c r="B379" s="53">
        <v>5349</v>
      </c>
      <c r="C379" s="50" t="s">
        <v>59</v>
      </c>
      <c r="D379" s="71">
        <f>'Návrh 2025 příjmy '!D40</f>
        <v>0</v>
      </c>
      <c r="E379" s="71">
        <f>'Návrh 2025 příjmy '!E40</f>
        <v>2500</v>
      </c>
      <c r="F379" s="260">
        <f>'Návrh 2025 příjmy '!F40</f>
        <v>2500000</v>
      </c>
      <c r="G379" s="142">
        <f>'Návrh 2025 příjmy '!G40</f>
        <v>0</v>
      </c>
      <c r="H379" s="123"/>
      <c r="K379" s="221"/>
    </row>
    <row r="380" spans="1:11" s="5" customFormat="1" ht="47.25" x14ac:dyDescent="0.25">
      <c r="A380" s="52">
        <v>6330</v>
      </c>
      <c r="B380" s="53">
        <v>5347</v>
      </c>
      <c r="C380" s="64" t="s">
        <v>286</v>
      </c>
      <c r="D380" s="71"/>
      <c r="E380" s="71"/>
      <c r="F380" s="165"/>
      <c r="G380" s="142"/>
      <c r="H380" s="123"/>
      <c r="K380" s="221"/>
    </row>
    <row r="381" spans="1:11" s="5" customFormat="1" x14ac:dyDescent="0.2">
      <c r="A381" s="52">
        <v>6330</v>
      </c>
      <c r="B381" s="53">
        <v>5347</v>
      </c>
      <c r="C381" s="63" t="s">
        <v>287</v>
      </c>
      <c r="D381" s="71">
        <v>0</v>
      </c>
      <c r="E381" s="71">
        <v>46.2</v>
      </c>
      <c r="F381" s="165">
        <v>46183.519999999997</v>
      </c>
      <c r="G381" s="142">
        <v>0</v>
      </c>
      <c r="H381" s="123"/>
      <c r="K381" s="221"/>
    </row>
    <row r="382" spans="1:11" s="5" customFormat="1" x14ac:dyDescent="0.2">
      <c r="A382" s="52">
        <v>6330</v>
      </c>
      <c r="B382" s="53">
        <v>5347</v>
      </c>
      <c r="C382" s="131" t="s">
        <v>224</v>
      </c>
      <c r="D382" s="71">
        <v>0</v>
      </c>
      <c r="E382" s="71">
        <v>0.9</v>
      </c>
      <c r="F382" s="165">
        <v>937.5</v>
      </c>
      <c r="G382" s="142">
        <v>0</v>
      </c>
      <c r="H382" s="123"/>
      <c r="K382" s="221"/>
    </row>
    <row r="383" spans="1:11" s="5" customFormat="1" ht="30" x14ac:dyDescent="0.2">
      <c r="A383" s="8">
        <v>6330</v>
      </c>
      <c r="B383" s="49">
        <v>5347</v>
      </c>
      <c r="C383" s="131" t="s">
        <v>279</v>
      </c>
      <c r="D383" s="71">
        <v>0</v>
      </c>
      <c r="E383" s="71">
        <f>116.8+116.8</f>
        <v>233.6</v>
      </c>
      <c r="F383" s="165">
        <f>116788.13+116788.12</f>
        <v>233576.25</v>
      </c>
      <c r="G383" s="142">
        <v>0</v>
      </c>
      <c r="H383" s="123"/>
      <c r="K383" s="221"/>
    </row>
    <row r="384" spans="1:11" s="5" customFormat="1" x14ac:dyDescent="0.2">
      <c r="A384" s="8">
        <v>6330</v>
      </c>
      <c r="B384" s="49">
        <v>5347</v>
      </c>
      <c r="C384" s="63" t="s">
        <v>261</v>
      </c>
      <c r="D384" s="71">
        <v>0</v>
      </c>
      <c r="E384" s="71">
        <v>235</v>
      </c>
      <c r="F384" s="165">
        <v>235000</v>
      </c>
      <c r="G384" s="142">
        <v>0</v>
      </c>
      <c r="H384" s="123"/>
      <c r="K384" s="221"/>
    </row>
    <row r="385" spans="1:11" s="5" customFormat="1" x14ac:dyDescent="0.2">
      <c r="A385" s="8">
        <v>6330</v>
      </c>
      <c r="B385" s="49">
        <v>5347</v>
      </c>
      <c r="C385" s="131" t="s">
        <v>289</v>
      </c>
      <c r="D385" s="71">
        <v>0</v>
      </c>
      <c r="E385" s="71">
        <v>264.3</v>
      </c>
      <c r="F385" s="165">
        <v>264344.21000000002</v>
      </c>
      <c r="G385" s="142">
        <v>0</v>
      </c>
      <c r="H385" s="123"/>
      <c r="K385" s="221"/>
    </row>
    <row r="386" spans="1:11" s="5" customFormat="1" x14ac:dyDescent="0.2">
      <c r="A386" s="8">
        <v>6330</v>
      </c>
      <c r="B386" s="49">
        <v>5347</v>
      </c>
      <c r="C386" s="63" t="s">
        <v>288</v>
      </c>
      <c r="D386" s="71">
        <v>0</v>
      </c>
      <c r="E386" s="71">
        <v>139.4</v>
      </c>
      <c r="F386" s="165">
        <v>139372.03</v>
      </c>
      <c r="G386" s="142">
        <v>0</v>
      </c>
      <c r="H386" s="123"/>
      <c r="K386" s="221"/>
    </row>
    <row r="387" spans="1:11" s="5" customFormat="1" x14ac:dyDescent="0.2">
      <c r="A387" s="8">
        <v>6330</v>
      </c>
      <c r="B387" s="49">
        <v>6363</v>
      </c>
      <c r="C387" s="131" t="s">
        <v>290</v>
      </c>
      <c r="D387" s="71">
        <v>0</v>
      </c>
      <c r="E387" s="71">
        <v>1035.0999999999999</v>
      </c>
      <c r="F387" s="165">
        <v>1035078</v>
      </c>
      <c r="G387" s="142">
        <v>0</v>
      </c>
      <c r="H387" s="123"/>
      <c r="K387" s="221"/>
    </row>
    <row r="388" spans="1:11" s="5" customFormat="1" ht="15.75" x14ac:dyDescent="0.25">
      <c r="A388" s="25">
        <v>6330</v>
      </c>
      <c r="B388" s="26"/>
      <c r="C388" s="62" t="s">
        <v>27</v>
      </c>
      <c r="D388" s="72">
        <f>SUM(D376:D387)</f>
        <v>4594</v>
      </c>
      <c r="E388" s="72">
        <f>SUM(E376:E387)</f>
        <v>9048.5</v>
      </c>
      <c r="F388" s="169">
        <f>SUM(F376:F387)</f>
        <v>8715892.7899999991</v>
      </c>
      <c r="G388" s="143">
        <f>SUM(G376:G387)</f>
        <v>3882</v>
      </c>
      <c r="H388" s="124">
        <f>G388</f>
        <v>3882</v>
      </c>
      <c r="K388" s="221"/>
    </row>
    <row r="389" spans="1:11" s="5" customFormat="1" ht="16.5" thickBot="1" x14ac:dyDescent="0.3">
      <c r="A389" s="157"/>
      <c r="B389" s="158"/>
      <c r="C389" s="159"/>
      <c r="D389" s="160"/>
      <c r="E389" s="160"/>
      <c r="F389" s="218"/>
      <c r="G389" s="142"/>
      <c r="H389" s="123"/>
      <c r="K389" s="221"/>
    </row>
    <row r="390" spans="1:11" s="5" customFormat="1" ht="16.5" thickBot="1" x14ac:dyDescent="0.3">
      <c r="A390" s="17"/>
      <c r="B390" s="31"/>
      <c r="C390" s="74" t="s">
        <v>82</v>
      </c>
      <c r="D390" s="85">
        <f>D55+D58+D64+D70+D84+D107+D125+D143+D148+D151+D155+D160+D170+D177+D180+D197+D201+D210+D214+D217+D226+D233+D236+D243+D258+D263+D266+D269+D274+D299+D318+D320+D322+D361+D364+D367+D370+D374+D388</f>
        <v>156312.99999999997</v>
      </c>
      <c r="E390" s="85">
        <f>E55+E58+E64+E70+E84+E107+E125+E143+E148+E151+E155+E160+E170+E177+E180+E197+E201+E210+E214+E217+E226+E233+E236+E243+E258+E263+E266+E269+E274+E299+E318+E320+E322+E361+E364+E367+E370+E374+E388</f>
        <v>227784.99999999997</v>
      </c>
      <c r="F390" s="23">
        <f>F55+F58+F64+F70+F84+F107+F125+F143+F148+F151+F155+F160+F170+F177+F180+F197+F201+F210+F214+F217+F226+F233+F236+F243+F258+F263+F266+F269+F274+F299+F318+F320+F322+F361+F364+F367+F370+F374+F388</f>
        <v>139765400.69</v>
      </c>
      <c r="G390" s="267">
        <f>G55+G58+G64+G70+G84+G107+G125+G143+G148+G151+G155+G160+G170+G177+G180+G197+G201+G210+G214+G217+G226+G233+G236+G243+G258+G263+G266+G269+G274+G299+G318+G320+G322+G361+G364+G367+G370+G374+G388</f>
        <v>180701.99</v>
      </c>
      <c r="H390" s="268">
        <f>G390</f>
        <v>180701.99</v>
      </c>
      <c r="K390" s="221"/>
    </row>
    <row r="391" spans="1:11" s="5" customFormat="1" ht="30.75" thickBot="1" x14ac:dyDescent="0.25">
      <c r="A391" s="77"/>
      <c r="B391" s="73"/>
      <c r="C391" s="113" t="s">
        <v>80</v>
      </c>
      <c r="D391" s="144">
        <f t="shared" ref="D391:H391" si="5">-D388</f>
        <v>-4594</v>
      </c>
      <c r="E391" s="144">
        <f t="shared" si="5"/>
        <v>-9048.5</v>
      </c>
      <c r="F391" s="150">
        <f>-F388</f>
        <v>-8715892.7899999991</v>
      </c>
      <c r="G391" s="269">
        <f t="shared" si="5"/>
        <v>-3882</v>
      </c>
      <c r="H391" s="270">
        <f t="shared" si="5"/>
        <v>-3882</v>
      </c>
      <c r="K391" s="221"/>
    </row>
    <row r="392" spans="1:11" s="5" customFormat="1" ht="15.75" thickBot="1" x14ac:dyDescent="0.25">
      <c r="A392" s="46"/>
      <c r="B392" s="46"/>
      <c r="C392" s="115"/>
      <c r="D392" s="125"/>
      <c r="E392" s="125"/>
      <c r="F392" s="112"/>
      <c r="G392" s="100"/>
      <c r="H392" s="100"/>
      <c r="K392" s="221"/>
    </row>
    <row r="393" spans="1:11" s="5" customFormat="1" ht="16.5" thickBot="1" x14ac:dyDescent="0.3">
      <c r="A393" s="17"/>
      <c r="B393" s="31"/>
      <c r="C393" s="74" t="s">
        <v>81</v>
      </c>
      <c r="D393" s="85">
        <f t="shared" ref="D393:H393" si="6">SUM(D390:D391)</f>
        <v>151718.99999999997</v>
      </c>
      <c r="E393" s="85">
        <f t="shared" si="6"/>
        <v>218736.49999999997</v>
      </c>
      <c r="F393" s="191">
        <f>SUM(F390:F391)</f>
        <v>131049507.90000001</v>
      </c>
      <c r="G393" s="85">
        <f t="shared" si="6"/>
        <v>176819.99</v>
      </c>
      <c r="H393" s="241">
        <f t="shared" si="6"/>
        <v>176819.99</v>
      </c>
      <c r="K393" s="221"/>
    </row>
    <row r="394" spans="1:11" s="5" customFormat="1" ht="16.5" thickBot="1" x14ac:dyDescent="0.3">
      <c r="A394" s="13"/>
      <c r="B394" s="42"/>
      <c r="C394" s="42"/>
      <c r="D394" s="145"/>
      <c r="E394" s="145"/>
      <c r="F394" s="21"/>
      <c r="G394" s="252"/>
      <c r="H394" s="252"/>
      <c r="K394" s="221"/>
    </row>
    <row r="395" spans="1:11" s="5" customFormat="1" ht="16.5" thickBot="1" x14ac:dyDescent="0.3">
      <c r="A395" s="17"/>
      <c r="B395" s="31"/>
      <c r="C395" s="32" t="s">
        <v>122</v>
      </c>
      <c r="D395" s="85">
        <f>SUM(D382:D387)</f>
        <v>0</v>
      </c>
      <c r="E395" s="85">
        <f>SUM(E381:E387)</f>
        <v>1954.5</v>
      </c>
      <c r="F395" s="191">
        <f>SUM(F381:F387)</f>
        <v>1954491.51</v>
      </c>
      <c r="G395" s="85">
        <f t="shared" ref="G395:H395" si="7">SUM(G381:G387)</f>
        <v>0</v>
      </c>
      <c r="H395" s="241">
        <f t="shared" si="7"/>
        <v>0</v>
      </c>
      <c r="K395" s="221"/>
    </row>
    <row r="396" spans="1:11" s="5" customFormat="1" ht="16.5" thickBot="1" x14ac:dyDescent="0.3">
      <c r="A396" s="13"/>
      <c r="B396" s="42"/>
      <c r="C396" s="42"/>
      <c r="D396" s="139"/>
      <c r="E396" s="139"/>
      <c r="F396" s="21"/>
      <c r="G396" s="83"/>
      <c r="H396" s="83"/>
      <c r="K396" s="221"/>
    </row>
    <row r="397" spans="1:11" s="5" customFormat="1" ht="16.5" thickBot="1" x14ac:dyDescent="0.3">
      <c r="A397" s="33"/>
      <c r="B397" s="34"/>
      <c r="C397" s="75" t="s">
        <v>84</v>
      </c>
      <c r="D397" s="91">
        <f>SUM(D393:D395)</f>
        <v>151718.99999999997</v>
      </c>
      <c r="E397" s="91">
        <f>SUM(E393:E395)</f>
        <v>220690.99999999997</v>
      </c>
      <c r="F397" s="271">
        <f>SUM(F393:F395)</f>
        <v>133003999.41000001</v>
      </c>
      <c r="G397" s="272">
        <f>SUM(G393:G395)</f>
        <v>176819.99</v>
      </c>
      <c r="H397" s="149">
        <f>SUM(H393:H395)</f>
        <v>176819.99</v>
      </c>
      <c r="K397" s="221"/>
    </row>
    <row r="398" spans="1:11" s="5" customFormat="1" ht="15.75" x14ac:dyDescent="0.25">
      <c r="A398" s="43"/>
      <c r="B398" s="43"/>
      <c r="C398" s="44"/>
      <c r="D398" s="125"/>
      <c r="E398" s="125"/>
      <c r="F398" s="45"/>
      <c r="G398" s="83"/>
      <c r="H398" s="83"/>
      <c r="K398" s="221"/>
    </row>
    <row r="399" spans="1:11" ht="16.5" thickBot="1" x14ac:dyDescent="0.3">
      <c r="B399" s="36"/>
      <c r="C399" s="7" t="s">
        <v>92</v>
      </c>
      <c r="D399" s="100"/>
      <c r="E399" s="100"/>
      <c r="H399" s="83"/>
    </row>
    <row r="400" spans="1:11" ht="32.25" thickBot="1" x14ac:dyDescent="0.3">
      <c r="B400" s="36"/>
      <c r="C400" s="37" t="s">
        <v>87</v>
      </c>
      <c r="D400" s="91">
        <f>'Návrh 2025 příjmy '!D84</f>
        <v>125501</v>
      </c>
      <c r="E400" s="91">
        <f>'Návrh 2025 příjmy '!E84</f>
        <v>176974.7</v>
      </c>
      <c r="F400" s="213">
        <f>'Návrh 2025 příjmy '!F84</f>
        <v>141678735.28999999</v>
      </c>
      <c r="G400" s="149">
        <f>'Návrh 2025 příjmy '!G84</f>
        <v>151521</v>
      </c>
      <c r="H400" s="236"/>
    </row>
    <row r="401" spans="1:11" ht="15.75" x14ac:dyDescent="0.25">
      <c r="B401" s="36"/>
      <c r="D401" s="125"/>
      <c r="E401" s="125"/>
      <c r="F401" s="38"/>
      <c r="H401" s="234"/>
    </row>
    <row r="402" spans="1:11" ht="15.75" x14ac:dyDescent="0.25">
      <c r="B402" s="36"/>
      <c r="C402" s="35" t="s">
        <v>83</v>
      </c>
      <c r="D402" s="83">
        <f t="shared" ref="D402:G402" si="8">D404-D403</f>
        <v>48822.199999999968</v>
      </c>
      <c r="E402" s="83">
        <f t="shared" si="8"/>
        <v>63444.499999999971</v>
      </c>
      <c r="F402" s="11">
        <v>43247482.469999999</v>
      </c>
      <c r="G402" s="83">
        <f t="shared" si="8"/>
        <v>57991.989999999991</v>
      </c>
      <c r="H402" s="234"/>
    </row>
    <row r="403" spans="1:11" ht="16.5" thickBot="1" x14ac:dyDescent="0.3">
      <c r="B403" s="36"/>
      <c r="C403" s="69" t="s">
        <v>34</v>
      </c>
      <c r="D403" s="101">
        <f>D32+D33+D34+D35+D37+D38+D39+D40+D41+D42+D43+D44+D63+D81+D82+D83+D98+D104+D105+D106+D147+D124+D154+D168+D169+D196+D209+D213+D225+D257+D298+D359+D387</f>
        <v>102896.8</v>
      </c>
      <c r="E403" s="101">
        <f>E32+E33+E34+E35+E37+E38+E39+E40+E41+E42+E43+E44+E63+E81+E82+E83+E98+E104+E105+E106+E147+E124+E154+E168+E169+E196+E209+E213+E225+E257+E298+E359+E387</f>
        <v>157246.5</v>
      </c>
      <c r="F403" s="181">
        <f>F32+F33+F34+F35+F37+F38+F39+F40+F41+F42+F43+F44+F63+F81+F82+F83+F98+F104+F105+F106+F147+F124+F154+F168+F169+F196+F209+F213+F225+F257+F298+F359+F387</f>
        <v>84101820.519999996</v>
      </c>
      <c r="G403" s="101">
        <f>G32+G33+G34+G35+G41+G42+G43+G44+G46+G47+G48+G49+G50+G51+G52+G63+G81+G82+G83+G99+G100+G104+G105+G106+G124+G154+G168+G169+G196+G209+G213+G225+G257+G317+G359+G360</f>
        <v>118828</v>
      </c>
      <c r="H403" s="234"/>
    </row>
    <row r="404" spans="1:11" ht="16.5" thickBot="1" x14ac:dyDescent="0.3">
      <c r="B404" s="36"/>
      <c r="C404" s="37" t="s">
        <v>269</v>
      </c>
      <c r="D404" s="91">
        <f t="shared" ref="D404:G404" si="9">D397</f>
        <v>151718.99999999997</v>
      </c>
      <c r="E404" s="91">
        <f t="shared" si="9"/>
        <v>220690.99999999997</v>
      </c>
      <c r="F404" s="213">
        <f t="shared" si="9"/>
        <v>133003999.41000001</v>
      </c>
      <c r="G404" s="149">
        <f t="shared" si="9"/>
        <v>176819.99</v>
      </c>
      <c r="H404" s="236"/>
    </row>
    <row r="405" spans="1:11" ht="16.5" thickBot="1" x14ac:dyDescent="0.3">
      <c r="B405" s="36"/>
      <c r="C405" s="39"/>
      <c r="D405" s="146"/>
      <c r="E405" s="146"/>
      <c r="H405" s="234"/>
    </row>
    <row r="406" spans="1:11" ht="16.5" thickBot="1" x14ac:dyDescent="0.3">
      <c r="B406" s="36"/>
      <c r="C406" s="82" t="s">
        <v>95</v>
      </c>
      <c r="D406" s="85">
        <f t="shared" ref="D406:G406" si="10">D400-D404</f>
        <v>-26217.999999999971</v>
      </c>
      <c r="E406" s="85">
        <f t="shared" si="10"/>
        <v>-43716.299999999959</v>
      </c>
      <c r="F406" s="191">
        <f>F400-F404</f>
        <v>8674735.8799999803</v>
      </c>
      <c r="G406" s="241">
        <f t="shared" si="10"/>
        <v>-25298.989999999991</v>
      </c>
      <c r="H406" s="236"/>
    </row>
    <row r="407" spans="1:11" ht="16.5" thickBot="1" x14ac:dyDescent="0.3">
      <c r="B407" s="36"/>
      <c r="C407" s="80"/>
      <c r="D407" s="92"/>
      <c r="E407" s="92"/>
      <c r="F407" s="81"/>
      <c r="H407" s="234"/>
    </row>
    <row r="408" spans="1:11" ht="32.25" thickBot="1" x14ac:dyDescent="0.3">
      <c r="B408" s="36"/>
      <c r="C408" s="79" t="s">
        <v>93</v>
      </c>
      <c r="D408" s="91">
        <f t="shared" ref="D408:G408" si="11">-(D406)</f>
        <v>26217.999999999971</v>
      </c>
      <c r="E408" s="91">
        <f t="shared" si="11"/>
        <v>43716.299999999959</v>
      </c>
      <c r="F408" s="213">
        <f>-(F406)</f>
        <v>-8674735.8799999803</v>
      </c>
      <c r="G408" s="149">
        <f t="shared" si="11"/>
        <v>25298.989999999991</v>
      </c>
      <c r="H408" s="236"/>
    </row>
    <row r="409" spans="1:11" x14ac:dyDescent="0.2">
      <c r="C409" s="40"/>
      <c r="D409" s="93"/>
      <c r="E409" s="93"/>
      <c r="F409" s="41"/>
    </row>
    <row r="410" spans="1:11" s="248" customFormat="1" x14ac:dyDescent="0.2">
      <c r="A410" s="13"/>
      <c r="B410" s="13"/>
      <c r="C410" s="40"/>
      <c r="D410" s="93"/>
      <c r="E410" s="93"/>
      <c r="F410" s="41"/>
      <c r="G410" s="83"/>
      <c r="H410" s="94"/>
      <c r="K410" s="224"/>
    </row>
    <row r="411" spans="1:11" s="248" customFormat="1" x14ac:dyDescent="0.2">
      <c r="A411" s="13"/>
      <c r="B411" s="13"/>
      <c r="C411" s="40"/>
      <c r="D411" s="93"/>
      <c r="E411" s="93"/>
      <c r="F411" s="41"/>
      <c r="G411" s="83"/>
      <c r="H411" s="94"/>
      <c r="K411" s="224"/>
    </row>
    <row r="412" spans="1:11" s="2" customFormat="1" x14ac:dyDescent="0.2">
      <c r="A412" s="13"/>
      <c r="B412" s="13"/>
      <c r="C412" s="12"/>
      <c r="D412" s="86"/>
      <c r="E412" s="86"/>
      <c r="F412" s="11"/>
      <c r="G412" s="83"/>
      <c r="H412" s="94"/>
      <c r="K412" s="221"/>
    </row>
    <row r="413" spans="1:11" s="2" customFormat="1" x14ac:dyDescent="0.2">
      <c r="A413" s="13"/>
      <c r="B413" s="13"/>
      <c r="C413" s="12"/>
      <c r="D413" s="86"/>
      <c r="E413" s="86"/>
      <c r="F413" s="11"/>
      <c r="G413" s="83"/>
      <c r="H413" s="94"/>
      <c r="K413" s="221"/>
    </row>
    <row r="414" spans="1:11" s="2" customFormat="1" x14ac:dyDescent="0.2">
      <c r="A414" s="13"/>
      <c r="B414" s="13"/>
      <c r="C414" s="12"/>
      <c r="D414" s="86"/>
      <c r="E414" s="86"/>
      <c r="F414" s="11"/>
      <c r="G414" s="83"/>
      <c r="H414" s="94"/>
      <c r="K414" s="221"/>
    </row>
    <row r="415" spans="1:11" s="2" customFormat="1" x14ac:dyDescent="0.2">
      <c r="A415" s="13"/>
      <c r="B415" s="13"/>
      <c r="C415" s="12"/>
      <c r="D415" s="86"/>
      <c r="E415" s="86"/>
      <c r="F415" s="11"/>
      <c r="G415" s="83"/>
      <c r="H415" s="94"/>
      <c r="K415" s="221"/>
    </row>
    <row r="416" spans="1:11" s="2" customFormat="1" x14ac:dyDescent="0.2">
      <c r="A416" s="13"/>
      <c r="B416" s="13"/>
      <c r="C416" s="12"/>
      <c r="D416" s="86"/>
      <c r="E416" s="86"/>
      <c r="F416" s="11"/>
      <c r="G416" s="83"/>
      <c r="H416" s="94"/>
      <c r="K416" s="221"/>
    </row>
    <row r="417" spans="1:11" s="2" customFormat="1" x14ac:dyDescent="0.2">
      <c r="A417" s="13"/>
      <c r="B417" s="13"/>
      <c r="C417" s="12"/>
      <c r="D417" s="86"/>
      <c r="E417" s="86"/>
      <c r="F417" s="11"/>
      <c r="G417" s="83"/>
      <c r="H417" s="94"/>
      <c r="K417" s="221"/>
    </row>
    <row r="418" spans="1:11" s="2" customFormat="1" x14ac:dyDescent="0.2">
      <c r="A418" s="13"/>
      <c r="B418" s="13"/>
      <c r="C418" s="12"/>
      <c r="D418" s="86"/>
      <c r="E418" s="86"/>
      <c r="F418" s="11"/>
      <c r="G418" s="83"/>
      <c r="H418" s="94"/>
      <c r="K418" s="221"/>
    </row>
    <row r="419" spans="1:11" s="2" customFormat="1" x14ac:dyDescent="0.2">
      <c r="A419" s="13"/>
      <c r="B419" s="13"/>
      <c r="C419" s="12"/>
      <c r="D419" s="86"/>
      <c r="E419" s="86"/>
      <c r="F419" s="11"/>
      <c r="G419" s="83"/>
      <c r="H419" s="94"/>
      <c r="K419" s="221"/>
    </row>
    <row r="420" spans="1:11" s="2" customFormat="1" x14ac:dyDescent="0.2">
      <c r="A420" s="13"/>
      <c r="B420" s="13"/>
      <c r="C420" s="12"/>
      <c r="D420" s="86"/>
      <c r="E420" s="86"/>
      <c r="F420" s="11"/>
      <c r="G420" s="83"/>
      <c r="H420" s="94"/>
      <c r="K420" s="221"/>
    </row>
    <row r="421" spans="1:11" s="2" customFormat="1" x14ac:dyDescent="0.2">
      <c r="A421" s="13"/>
      <c r="B421" s="13"/>
      <c r="C421" s="12"/>
      <c r="D421" s="86"/>
      <c r="E421" s="86"/>
      <c r="F421" s="11"/>
      <c r="G421" s="83"/>
      <c r="H421" s="94"/>
      <c r="K421" s="221"/>
    </row>
    <row r="422" spans="1:11" s="2" customFormat="1" x14ac:dyDescent="0.2">
      <c r="A422" s="13"/>
      <c r="B422" s="13"/>
      <c r="C422" s="12"/>
      <c r="D422" s="86"/>
      <c r="E422" s="86"/>
      <c r="F422" s="11"/>
      <c r="G422" s="83"/>
      <c r="H422" s="94"/>
      <c r="K422" s="221"/>
    </row>
    <row r="423" spans="1:11" s="2" customFormat="1" x14ac:dyDescent="0.2">
      <c r="A423" s="13"/>
      <c r="B423" s="13"/>
      <c r="C423" s="12"/>
      <c r="D423" s="86"/>
      <c r="E423" s="86"/>
      <c r="F423" s="11"/>
      <c r="G423" s="83"/>
      <c r="H423" s="94"/>
      <c r="K423" s="221"/>
    </row>
    <row r="424" spans="1:11" s="2" customFormat="1" x14ac:dyDescent="0.2">
      <c r="A424" s="13"/>
      <c r="B424" s="13"/>
      <c r="C424" s="12"/>
      <c r="D424" s="86"/>
      <c r="E424" s="86"/>
      <c r="F424" s="11"/>
      <c r="G424" s="83"/>
      <c r="H424" s="94"/>
      <c r="K424" s="221"/>
    </row>
    <row r="425" spans="1:11" s="2" customFormat="1" x14ac:dyDescent="0.2">
      <c r="A425" s="13"/>
      <c r="B425" s="13"/>
      <c r="C425" s="12"/>
      <c r="D425" s="86"/>
      <c r="E425" s="86"/>
      <c r="F425" s="11"/>
      <c r="G425" s="83"/>
      <c r="H425" s="94"/>
      <c r="K425" s="221"/>
    </row>
    <row r="426" spans="1:11" s="2" customFormat="1" x14ac:dyDescent="0.2">
      <c r="A426" s="13"/>
      <c r="B426" s="13"/>
      <c r="C426" s="12"/>
      <c r="D426" s="86"/>
      <c r="E426" s="86"/>
      <c r="F426" s="11"/>
      <c r="G426" s="83"/>
      <c r="H426" s="94"/>
      <c r="K426" s="221"/>
    </row>
    <row r="427" spans="1:11" s="2" customFormat="1" x14ac:dyDescent="0.2">
      <c r="A427" s="13"/>
      <c r="B427" s="13"/>
      <c r="C427" s="12"/>
      <c r="D427" s="86"/>
      <c r="E427" s="86"/>
      <c r="F427" s="11"/>
      <c r="G427" s="83"/>
      <c r="H427" s="94"/>
      <c r="K427" s="221"/>
    </row>
    <row r="428" spans="1:11" s="2" customFormat="1" x14ac:dyDescent="0.2">
      <c r="A428" s="13"/>
      <c r="B428" s="13"/>
      <c r="C428" s="12"/>
      <c r="D428" s="86"/>
      <c r="E428" s="86"/>
      <c r="F428" s="11"/>
      <c r="G428" s="83"/>
      <c r="H428" s="94"/>
      <c r="K428" s="221"/>
    </row>
    <row r="429" spans="1:11" s="2" customFormat="1" x14ac:dyDescent="0.2">
      <c r="A429" s="13"/>
      <c r="B429" s="13"/>
      <c r="C429" s="12"/>
      <c r="D429" s="86"/>
      <c r="E429" s="86"/>
      <c r="F429" s="11"/>
      <c r="G429" s="83"/>
      <c r="H429" s="94"/>
      <c r="K429" s="221"/>
    </row>
    <row r="430" spans="1:11" s="2" customFormat="1" x14ac:dyDescent="0.2">
      <c r="A430" s="13"/>
      <c r="B430" s="13"/>
      <c r="C430" s="12"/>
      <c r="D430" s="86"/>
      <c r="E430" s="86"/>
      <c r="F430" s="11"/>
      <c r="G430" s="83"/>
      <c r="H430" s="94"/>
      <c r="K430" s="221"/>
    </row>
    <row r="431" spans="1:11" s="2" customFormat="1" x14ac:dyDescent="0.2">
      <c r="A431" s="13"/>
      <c r="B431" s="13"/>
      <c r="C431" s="12"/>
      <c r="D431" s="86"/>
      <c r="E431" s="86"/>
      <c r="F431" s="11"/>
      <c r="G431" s="83"/>
      <c r="H431" s="94"/>
      <c r="K431" s="221"/>
    </row>
    <row r="432" spans="1:11" s="2" customFormat="1" x14ac:dyDescent="0.2">
      <c r="A432" s="13"/>
      <c r="B432" s="13"/>
      <c r="C432" s="12"/>
      <c r="D432" s="86"/>
      <c r="E432" s="86"/>
      <c r="F432" s="11"/>
      <c r="G432" s="83"/>
      <c r="H432" s="94"/>
      <c r="K432" s="221"/>
    </row>
    <row r="433" spans="1:11" s="2" customFormat="1" x14ac:dyDescent="0.2">
      <c r="A433" s="13"/>
      <c r="B433" s="13"/>
      <c r="C433" s="12"/>
      <c r="D433" s="86"/>
      <c r="E433" s="86"/>
      <c r="F433" s="11"/>
      <c r="G433" s="83"/>
      <c r="H433" s="94"/>
      <c r="K433" s="221"/>
    </row>
    <row r="434" spans="1:11" s="2" customFormat="1" x14ac:dyDescent="0.2">
      <c r="A434" s="13"/>
      <c r="B434" s="13"/>
      <c r="C434" s="12"/>
      <c r="D434" s="86"/>
      <c r="E434" s="86"/>
      <c r="F434" s="11"/>
      <c r="G434" s="83"/>
      <c r="H434" s="94"/>
      <c r="K434" s="221"/>
    </row>
    <row r="435" spans="1:11" s="2" customFormat="1" x14ac:dyDescent="0.2">
      <c r="A435" s="13"/>
      <c r="B435" s="13"/>
      <c r="C435" s="12"/>
      <c r="D435" s="86"/>
      <c r="E435" s="86"/>
      <c r="F435" s="11"/>
      <c r="G435" s="83"/>
      <c r="H435" s="94"/>
      <c r="K435" s="221"/>
    </row>
    <row r="436" spans="1:11" s="2" customFormat="1" x14ac:dyDescent="0.2">
      <c r="A436" s="13"/>
      <c r="B436" s="13"/>
      <c r="C436" s="12"/>
      <c r="D436" s="86"/>
      <c r="E436" s="86"/>
      <c r="F436" s="11"/>
      <c r="G436" s="83"/>
      <c r="H436" s="94"/>
      <c r="K436" s="221"/>
    </row>
    <row r="437" spans="1:11" s="2" customFormat="1" x14ac:dyDescent="0.2">
      <c r="A437" s="13"/>
      <c r="B437" s="13"/>
      <c r="C437" s="12"/>
      <c r="D437" s="86"/>
      <c r="E437" s="86"/>
      <c r="F437" s="11"/>
      <c r="G437" s="83"/>
      <c r="H437" s="94"/>
      <c r="K437" s="221"/>
    </row>
    <row r="438" spans="1:11" s="2" customFormat="1" x14ac:dyDescent="0.2">
      <c r="A438" s="13"/>
      <c r="B438" s="13"/>
      <c r="C438" s="12"/>
      <c r="D438" s="86"/>
      <c r="E438" s="86"/>
      <c r="F438" s="11"/>
      <c r="G438" s="83"/>
      <c r="H438" s="94"/>
      <c r="K438" s="221"/>
    </row>
    <row r="439" spans="1:11" s="2" customFormat="1" x14ac:dyDescent="0.2">
      <c r="A439" s="13"/>
      <c r="B439" s="13"/>
      <c r="C439" s="12"/>
      <c r="D439" s="86"/>
      <c r="E439" s="86"/>
      <c r="F439" s="11"/>
      <c r="G439" s="83"/>
      <c r="H439" s="94"/>
      <c r="K439" s="221"/>
    </row>
    <row r="440" spans="1:11" s="2" customFormat="1" x14ac:dyDescent="0.2">
      <c r="A440" s="13"/>
      <c r="B440" s="13"/>
      <c r="C440" s="12"/>
      <c r="D440" s="86"/>
      <c r="E440" s="86"/>
      <c r="F440" s="11"/>
      <c r="G440" s="83"/>
      <c r="H440" s="94"/>
      <c r="K440" s="221"/>
    </row>
    <row r="441" spans="1:11" s="2" customFormat="1" x14ac:dyDescent="0.2">
      <c r="A441" s="13"/>
      <c r="B441" s="13"/>
      <c r="C441" s="12"/>
      <c r="D441" s="86"/>
      <c r="E441" s="86"/>
      <c r="F441" s="11"/>
      <c r="G441" s="83"/>
      <c r="H441" s="94"/>
      <c r="K441" s="221"/>
    </row>
    <row r="442" spans="1:11" s="2" customFormat="1" x14ac:dyDescent="0.2">
      <c r="A442" s="13"/>
      <c r="B442" s="13"/>
      <c r="C442" s="12"/>
      <c r="D442" s="86"/>
      <c r="E442" s="86"/>
      <c r="F442" s="11"/>
      <c r="G442" s="83"/>
      <c r="H442" s="94"/>
      <c r="K442" s="221"/>
    </row>
    <row r="443" spans="1:11" s="2" customFormat="1" x14ac:dyDescent="0.2">
      <c r="A443" s="13"/>
      <c r="B443" s="13"/>
      <c r="C443" s="12"/>
      <c r="D443" s="86"/>
      <c r="E443" s="86"/>
      <c r="F443" s="11"/>
      <c r="G443" s="83"/>
      <c r="H443" s="94"/>
      <c r="K443" s="221"/>
    </row>
    <row r="444" spans="1:11" s="2" customFormat="1" x14ac:dyDescent="0.2">
      <c r="A444" s="13"/>
      <c r="B444" s="13"/>
      <c r="C444" s="12"/>
      <c r="D444" s="86"/>
      <c r="E444" s="86"/>
      <c r="F444" s="11"/>
      <c r="G444" s="83"/>
      <c r="H444" s="94"/>
      <c r="K444" s="221"/>
    </row>
    <row r="445" spans="1:11" s="2" customFormat="1" x14ac:dyDescent="0.2">
      <c r="A445" s="13"/>
      <c r="B445" s="13"/>
      <c r="C445" s="12"/>
      <c r="D445" s="86"/>
      <c r="E445" s="86"/>
      <c r="F445" s="11"/>
      <c r="G445" s="83"/>
      <c r="H445" s="94"/>
      <c r="K445" s="221"/>
    </row>
    <row r="446" spans="1:11" s="2" customFormat="1" x14ac:dyDescent="0.2">
      <c r="A446" s="13"/>
      <c r="B446" s="13"/>
      <c r="C446" s="12"/>
      <c r="D446" s="86"/>
      <c r="E446" s="86"/>
      <c r="F446" s="11"/>
      <c r="G446" s="83"/>
      <c r="H446" s="94"/>
      <c r="K446" s="221"/>
    </row>
    <row r="447" spans="1:11" s="2" customFormat="1" x14ac:dyDescent="0.2">
      <c r="A447" s="13"/>
      <c r="B447" s="13"/>
      <c r="C447" s="12"/>
      <c r="D447" s="86"/>
      <c r="E447" s="86"/>
      <c r="F447" s="11"/>
      <c r="G447" s="83"/>
      <c r="H447" s="94"/>
      <c r="K447" s="221"/>
    </row>
    <row r="448" spans="1:11" s="2" customFormat="1" x14ac:dyDescent="0.2">
      <c r="A448" s="13"/>
      <c r="B448" s="13"/>
      <c r="C448" s="12"/>
      <c r="D448" s="86"/>
      <c r="E448" s="86"/>
      <c r="F448" s="11"/>
      <c r="G448" s="83"/>
      <c r="H448" s="94"/>
      <c r="K448" s="221"/>
    </row>
    <row r="449" spans="1:11" s="2" customFormat="1" x14ac:dyDescent="0.2">
      <c r="A449" s="13"/>
      <c r="B449" s="13"/>
      <c r="C449" s="12"/>
      <c r="D449" s="86"/>
      <c r="E449" s="86"/>
      <c r="F449" s="11"/>
      <c r="G449" s="83"/>
      <c r="H449" s="94"/>
      <c r="K449" s="221"/>
    </row>
    <row r="450" spans="1:11" s="2" customFormat="1" x14ac:dyDescent="0.2">
      <c r="A450" s="13"/>
      <c r="B450" s="13"/>
      <c r="C450" s="12"/>
      <c r="D450" s="86"/>
      <c r="E450" s="86"/>
      <c r="F450" s="11"/>
      <c r="G450" s="83"/>
      <c r="H450" s="94"/>
      <c r="K450" s="221"/>
    </row>
    <row r="451" spans="1:11" s="2" customFormat="1" x14ac:dyDescent="0.2">
      <c r="A451" s="13"/>
      <c r="B451" s="13"/>
      <c r="C451" s="12"/>
      <c r="D451" s="86"/>
      <c r="E451" s="86"/>
      <c r="F451" s="11"/>
      <c r="G451" s="83"/>
      <c r="H451" s="94"/>
      <c r="K451" s="221"/>
    </row>
    <row r="452" spans="1:11" s="2" customFormat="1" x14ac:dyDescent="0.2">
      <c r="A452" s="13"/>
      <c r="B452" s="13"/>
      <c r="C452" s="12"/>
      <c r="D452" s="86"/>
      <c r="E452" s="86"/>
      <c r="F452" s="11"/>
      <c r="G452" s="83"/>
      <c r="H452" s="94"/>
      <c r="K452" s="221"/>
    </row>
    <row r="453" spans="1:11" s="2" customFormat="1" x14ac:dyDescent="0.2">
      <c r="A453" s="13"/>
      <c r="B453" s="13"/>
      <c r="C453" s="12"/>
      <c r="D453" s="86"/>
      <c r="E453" s="86"/>
      <c r="F453" s="11"/>
      <c r="G453" s="83"/>
      <c r="H453" s="94"/>
      <c r="K453" s="221"/>
    </row>
    <row r="454" spans="1:11" s="2" customFormat="1" x14ac:dyDescent="0.2">
      <c r="A454" s="13"/>
      <c r="B454" s="13"/>
      <c r="C454" s="12"/>
      <c r="D454" s="86"/>
      <c r="E454" s="86"/>
      <c r="F454" s="11"/>
      <c r="G454" s="83"/>
      <c r="H454" s="94"/>
      <c r="K454" s="221"/>
    </row>
    <row r="455" spans="1:11" s="2" customFormat="1" x14ac:dyDescent="0.2">
      <c r="A455" s="13"/>
      <c r="B455" s="13"/>
      <c r="C455" s="12"/>
      <c r="D455" s="86"/>
      <c r="E455" s="86"/>
      <c r="F455" s="11"/>
      <c r="G455" s="83"/>
      <c r="H455" s="94"/>
      <c r="K455" s="221"/>
    </row>
    <row r="456" spans="1:11" s="2" customFormat="1" x14ac:dyDescent="0.2">
      <c r="A456" s="13"/>
      <c r="B456" s="13"/>
      <c r="C456" s="12"/>
      <c r="D456" s="86"/>
      <c r="E456" s="86"/>
      <c r="F456" s="11"/>
      <c r="G456" s="83"/>
      <c r="H456" s="94"/>
      <c r="K456" s="221"/>
    </row>
    <row r="457" spans="1:11" s="2" customFormat="1" x14ac:dyDescent="0.2">
      <c r="A457" s="13"/>
      <c r="B457" s="13"/>
      <c r="C457" s="12"/>
      <c r="D457" s="86"/>
      <c r="E457" s="86"/>
      <c r="F457" s="11"/>
      <c r="G457" s="83"/>
      <c r="H457" s="94"/>
      <c r="K457" s="221"/>
    </row>
    <row r="458" spans="1:11" s="2" customFormat="1" x14ac:dyDescent="0.2">
      <c r="A458" s="13"/>
      <c r="B458" s="13"/>
      <c r="C458" s="12"/>
      <c r="D458" s="86"/>
      <c r="E458" s="86"/>
      <c r="F458" s="11"/>
      <c r="G458" s="83"/>
      <c r="H458" s="94"/>
      <c r="K458" s="221"/>
    </row>
    <row r="459" spans="1:11" s="2" customFormat="1" x14ac:dyDescent="0.2">
      <c r="A459" s="13"/>
      <c r="B459" s="13"/>
      <c r="C459" s="12"/>
      <c r="D459" s="86"/>
      <c r="E459" s="86"/>
      <c r="F459" s="11"/>
      <c r="G459" s="83"/>
      <c r="H459" s="94"/>
      <c r="K459" s="221"/>
    </row>
    <row r="460" spans="1:11" s="2" customFormat="1" x14ac:dyDescent="0.2">
      <c r="A460" s="13"/>
      <c r="B460" s="13"/>
      <c r="C460" s="12"/>
      <c r="D460" s="86"/>
      <c r="E460" s="86"/>
      <c r="F460" s="11"/>
      <c r="G460" s="83"/>
      <c r="H460" s="94"/>
      <c r="K460" s="221"/>
    </row>
    <row r="461" spans="1:11" s="2" customFormat="1" x14ac:dyDescent="0.2">
      <c r="A461" s="13"/>
      <c r="B461" s="13"/>
      <c r="C461" s="12"/>
      <c r="D461" s="86"/>
      <c r="E461" s="86"/>
      <c r="F461" s="11"/>
      <c r="G461" s="83"/>
      <c r="H461" s="94"/>
      <c r="K461" s="221"/>
    </row>
    <row r="462" spans="1:11" s="2" customFormat="1" x14ac:dyDescent="0.2">
      <c r="A462" s="13"/>
      <c r="B462" s="13"/>
      <c r="C462" s="12"/>
      <c r="D462" s="86"/>
      <c r="E462" s="86"/>
      <c r="F462" s="11"/>
      <c r="G462" s="83"/>
      <c r="H462" s="94"/>
      <c r="K462" s="221"/>
    </row>
    <row r="463" spans="1:11" s="2" customFormat="1" x14ac:dyDescent="0.2">
      <c r="A463" s="13"/>
      <c r="B463" s="13"/>
      <c r="C463" s="12"/>
      <c r="D463" s="86"/>
      <c r="E463" s="86"/>
      <c r="F463" s="11"/>
      <c r="G463" s="83"/>
      <c r="H463" s="94"/>
      <c r="K463" s="221"/>
    </row>
    <row r="464" spans="1:11" s="2" customFormat="1" x14ac:dyDescent="0.2">
      <c r="A464" s="13"/>
      <c r="B464" s="13"/>
      <c r="C464" s="12"/>
      <c r="D464" s="86"/>
      <c r="E464" s="86"/>
      <c r="F464" s="11"/>
      <c r="G464" s="83"/>
      <c r="H464" s="94"/>
      <c r="K464" s="221"/>
    </row>
    <row r="465" spans="1:11" s="2" customFormat="1" x14ac:dyDescent="0.2">
      <c r="A465" s="13"/>
      <c r="B465" s="13"/>
      <c r="C465" s="12"/>
      <c r="D465" s="86"/>
      <c r="E465" s="86"/>
      <c r="F465" s="11"/>
      <c r="G465" s="83"/>
      <c r="H465" s="94"/>
      <c r="K465" s="221"/>
    </row>
    <row r="466" spans="1:11" s="2" customFormat="1" x14ac:dyDescent="0.2">
      <c r="A466" s="13"/>
      <c r="B466" s="13"/>
      <c r="C466" s="12"/>
      <c r="D466" s="86"/>
      <c r="E466" s="86"/>
      <c r="F466" s="11"/>
      <c r="G466" s="83"/>
      <c r="H466" s="94"/>
      <c r="K466" s="221"/>
    </row>
    <row r="467" spans="1:11" s="2" customFormat="1" x14ac:dyDescent="0.2">
      <c r="A467" s="13"/>
      <c r="B467" s="13"/>
      <c r="C467" s="12"/>
      <c r="D467" s="86"/>
      <c r="E467" s="86"/>
      <c r="F467" s="11"/>
      <c r="G467" s="83"/>
      <c r="H467" s="94"/>
      <c r="K467" s="221"/>
    </row>
    <row r="468" spans="1:11" s="2" customFormat="1" x14ac:dyDescent="0.2">
      <c r="A468" s="13"/>
      <c r="B468" s="13"/>
      <c r="C468" s="12"/>
      <c r="D468" s="86"/>
      <c r="E468" s="86"/>
      <c r="F468" s="11"/>
      <c r="G468" s="83"/>
      <c r="H468" s="94"/>
      <c r="K468" s="221"/>
    </row>
    <row r="469" spans="1:11" s="2" customFormat="1" x14ac:dyDescent="0.2">
      <c r="A469" s="13"/>
      <c r="B469" s="13"/>
      <c r="C469" s="12"/>
      <c r="D469" s="86"/>
      <c r="E469" s="86"/>
      <c r="F469" s="11"/>
      <c r="G469" s="83"/>
      <c r="H469" s="94"/>
      <c r="K469" s="221"/>
    </row>
    <row r="470" spans="1:11" s="2" customFormat="1" x14ac:dyDescent="0.2">
      <c r="A470" s="13"/>
      <c r="B470" s="13"/>
      <c r="C470" s="12"/>
      <c r="D470" s="86"/>
      <c r="E470" s="86"/>
      <c r="F470" s="11"/>
      <c r="G470" s="83"/>
      <c r="H470" s="94"/>
      <c r="K470" s="221"/>
    </row>
    <row r="471" spans="1:11" s="2" customFormat="1" x14ac:dyDescent="0.2">
      <c r="A471" s="13"/>
      <c r="B471" s="13"/>
      <c r="C471" s="12"/>
      <c r="D471" s="86"/>
      <c r="E471" s="86"/>
      <c r="F471" s="11"/>
      <c r="G471" s="83"/>
      <c r="H471" s="94"/>
      <c r="K471" s="221"/>
    </row>
    <row r="472" spans="1:11" s="2" customFormat="1" x14ac:dyDescent="0.2">
      <c r="A472" s="13"/>
      <c r="B472" s="13"/>
      <c r="C472" s="12"/>
      <c r="D472" s="86"/>
      <c r="E472" s="86"/>
      <c r="F472" s="11"/>
      <c r="G472" s="83"/>
      <c r="H472" s="94"/>
      <c r="K472" s="221"/>
    </row>
    <row r="473" spans="1:11" s="2" customFormat="1" x14ac:dyDescent="0.2">
      <c r="A473" s="13"/>
      <c r="B473" s="13"/>
      <c r="C473" s="12"/>
      <c r="D473" s="86"/>
      <c r="E473" s="86"/>
      <c r="F473" s="11"/>
      <c r="G473" s="83"/>
      <c r="H473" s="94"/>
      <c r="K473" s="221"/>
    </row>
    <row r="474" spans="1:11" s="2" customFormat="1" x14ac:dyDescent="0.2">
      <c r="A474" s="13"/>
      <c r="B474" s="13"/>
      <c r="C474" s="12"/>
      <c r="D474" s="86"/>
      <c r="E474" s="86"/>
      <c r="F474" s="11"/>
      <c r="G474" s="83"/>
      <c r="H474" s="94"/>
      <c r="K474" s="221"/>
    </row>
    <row r="475" spans="1:11" s="2" customFormat="1" x14ac:dyDescent="0.2">
      <c r="A475" s="13"/>
      <c r="B475" s="13"/>
      <c r="C475" s="12"/>
      <c r="D475" s="86"/>
      <c r="E475" s="86"/>
      <c r="F475" s="11"/>
      <c r="G475" s="83"/>
      <c r="H475" s="94"/>
      <c r="K475" s="221"/>
    </row>
    <row r="476" spans="1:11" s="2" customFormat="1" x14ac:dyDescent="0.2">
      <c r="A476" s="13"/>
      <c r="B476" s="13"/>
      <c r="C476" s="12"/>
      <c r="D476" s="86"/>
      <c r="E476" s="86"/>
      <c r="F476" s="11"/>
      <c r="G476" s="83"/>
      <c r="H476" s="94"/>
      <c r="K476" s="221"/>
    </row>
    <row r="477" spans="1:11" s="2" customFormat="1" x14ac:dyDescent="0.2">
      <c r="A477" s="13"/>
      <c r="B477" s="13"/>
      <c r="C477" s="12"/>
      <c r="D477" s="86"/>
      <c r="E477" s="86"/>
      <c r="F477" s="11"/>
      <c r="G477" s="83"/>
      <c r="H477" s="94"/>
      <c r="K477" s="221"/>
    </row>
    <row r="478" spans="1:11" s="2" customFormat="1" x14ac:dyDescent="0.2">
      <c r="A478" s="13"/>
      <c r="B478" s="13"/>
      <c r="C478" s="12"/>
      <c r="D478" s="86"/>
      <c r="E478" s="86"/>
      <c r="F478" s="11"/>
      <c r="G478" s="83"/>
      <c r="H478" s="94"/>
      <c r="K478" s="221"/>
    </row>
    <row r="479" spans="1:11" s="2" customFormat="1" x14ac:dyDescent="0.2">
      <c r="A479" s="13"/>
      <c r="B479" s="13"/>
      <c r="C479" s="12"/>
      <c r="D479" s="86"/>
      <c r="E479" s="86"/>
      <c r="F479" s="11"/>
      <c r="G479" s="83"/>
      <c r="H479" s="94"/>
      <c r="K479" s="221"/>
    </row>
    <row r="480" spans="1:11" s="2" customFormat="1" x14ac:dyDescent="0.2">
      <c r="A480" s="13"/>
      <c r="B480" s="13"/>
      <c r="C480" s="12"/>
      <c r="D480" s="86"/>
      <c r="E480" s="86"/>
      <c r="F480" s="11"/>
      <c r="G480" s="83"/>
      <c r="H480" s="94"/>
      <c r="K480" s="221"/>
    </row>
    <row r="481" spans="1:11" s="2" customFormat="1" x14ac:dyDescent="0.2">
      <c r="A481" s="13"/>
      <c r="B481" s="13"/>
      <c r="C481" s="12"/>
      <c r="D481" s="86"/>
      <c r="E481" s="86"/>
      <c r="F481" s="11"/>
      <c r="G481" s="83"/>
      <c r="H481" s="94"/>
      <c r="K481" s="221"/>
    </row>
    <row r="482" spans="1:11" s="2" customFormat="1" x14ac:dyDescent="0.2">
      <c r="A482" s="13"/>
      <c r="B482" s="13"/>
      <c r="C482" s="12"/>
      <c r="D482" s="86"/>
      <c r="E482" s="86"/>
      <c r="F482" s="11"/>
      <c r="G482" s="83"/>
      <c r="H482" s="94"/>
      <c r="K482" s="221"/>
    </row>
    <row r="483" spans="1:11" s="2" customFormat="1" x14ac:dyDescent="0.2">
      <c r="A483" s="13"/>
      <c r="B483" s="13"/>
      <c r="C483" s="12"/>
      <c r="D483" s="86"/>
      <c r="E483" s="86"/>
      <c r="F483" s="11"/>
      <c r="G483" s="83"/>
      <c r="H483" s="94"/>
      <c r="K483" s="221"/>
    </row>
    <row r="484" spans="1:11" s="2" customFormat="1" x14ac:dyDescent="0.2">
      <c r="A484" s="13"/>
      <c r="B484" s="13"/>
      <c r="C484" s="12"/>
      <c r="D484" s="86"/>
      <c r="E484" s="86"/>
      <c r="F484" s="11"/>
      <c r="G484" s="83"/>
      <c r="H484" s="94"/>
      <c r="K484" s="221"/>
    </row>
    <row r="485" spans="1:11" s="2" customFormat="1" x14ac:dyDescent="0.2">
      <c r="A485" s="13"/>
      <c r="B485" s="13"/>
      <c r="C485" s="12"/>
      <c r="D485" s="86"/>
      <c r="E485" s="86"/>
      <c r="F485" s="11"/>
      <c r="G485" s="83"/>
      <c r="H485" s="94"/>
      <c r="K485" s="221"/>
    </row>
    <row r="486" spans="1:11" s="2" customFormat="1" x14ac:dyDescent="0.2">
      <c r="A486" s="13"/>
      <c r="B486" s="13"/>
      <c r="C486" s="12"/>
      <c r="D486" s="86"/>
      <c r="E486" s="86"/>
      <c r="F486" s="11"/>
      <c r="G486" s="83"/>
      <c r="H486" s="94"/>
      <c r="K486" s="221"/>
    </row>
    <row r="487" spans="1:11" s="2" customFormat="1" x14ac:dyDescent="0.2">
      <c r="A487" s="13"/>
      <c r="B487" s="13"/>
      <c r="C487" s="12"/>
      <c r="D487" s="86"/>
      <c r="E487" s="86"/>
      <c r="F487" s="11"/>
      <c r="G487" s="83"/>
      <c r="H487" s="94"/>
      <c r="K487" s="221"/>
    </row>
    <row r="488" spans="1:11" s="2" customFormat="1" x14ac:dyDescent="0.2">
      <c r="A488" s="13"/>
      <c r="B488" s="13"/>
      <c r="C488" s="12"/>
      <c r="D488" s="86"/>
      <c r="E488" s="86"/>
      <c r="F488" s="11"/>
      <c r="G488" s="83"/>
      <c r="H488" s="94"/>
      <c r="K488" s="221"/>
    </row>
    <row r="489" spans="1:11" s="2" customFormat="1" x14ac:dyDescent="0.2">
      <c r="A489" s="13"/>
      <c r="B489" s="13"/>
      <c r="C489" s="12"/>
      <c r="D489" s="86"/>
      <c r="E489" s="86"/>
      <c r="F489" s="11"/>
      <c r="G489" s="83"/>
      <c r="H489" s="94"/>
      <c r="K489" s="221"/>
    </row>
    <row r="490" spans="1:11" s="2" customFormat="1" x14ac:dyDescent="0.2">
      <c r="A490" s="13"/>
      <c r="B490" s="13"/>
      <c r="C490" s="12"/>
      <c r="D490" s="86"/>
      <c r="E490" s="86"/>
      <c r="F490" s="11"/>
      <c r="G490" s="83"/>
      <c r="H490" s="94"/>
      <c r="K490" s="221"/>
    </row>
    <row r="491" spans="1:11" s="2" customFormat="1" x14ac:dyDescent="0.2">
      <c r="A491" s="13"/>
      <c r="B491" s="13"/>
      <c r="C491" s="12"/>
      <c r="D491" s="86"/>
      <c r="E491" s="86"/>
      <c r="F491" s="11"/>
      <c r="G491" s="83"/>
      <c r="H491" s="94"/>
      <c r="K491" s="221"/>
    </row>
    <row r="492" spans="1:11" s="2" customFormat="1" x14ac:dyDescent="0.2">
      <c r="A492" s="13"/>
      <c r="B492" s="13"/>
      <c r="C492" s="12"/>
      <c r="D492" s="86"/>
      <c r="E492" s="86"/>
      <c r="F492" s="11"/>
      <c r="G492" s="83"/>
      <c r="H492" s="94"/>
      <c r="K492" s="221"/>
    </row>
    <row r="493" spans="1:11" s="2" customFormat="1" x14ac:dyDescent="0.2">
      <c r="A493" s="13"/>
      <c r="B493" s="13"/>
      <c r="C493" s="12"/>
      <c r="D493" s="86"/>
      <c r="E493" s="86"/>
      <c r="F493" s="11"/>
      <c r="G493" s="83"/>
      <c r="H493" s="94"/>
      <c r="K493" s="221"/>
    </row>
    <row r="494" spans="1:11" s="2" customFormat="1" x14ac:dyDescent="0.2">
      <c r="A494" s="13"/>
      <c r="B494" s="13"/>
      <c r="C494" s="12"/>
      <c r="D494" s="86"/>
      <c r="E494" s="86"/>
      <c r="F494" s="11"/>
      <c r="G494" s="83"/>
      <c r="H494" s="94"/>
      <c r="K494" s="221"/>
    </row>
    <row r="495" spans="1:11" s="2" customFormat="1" x14ac:dyDescent="0.2">
      <c r="A495" s="13"/>
      <c r="B495" s="13"/>
      <c r="C495" s="12"/>
      <c r="D495" s="86"/>
      <c r="E495" s="86"/>
      <c r="F495" s="11"/>
      <c r="G495" s="83"/>
      <c r="H495" s="94"/>
      <c r="K495" s="221"/>
    </row>
    <row r="496" spans="1:11" s="2" customFormat="1" x14ac:dyDescent="0.2">
      <c r="A496" s="13"/>
      <c r="B496" s="13"/>
      <c r="C496" s="12"/>
      <c r="D496" s="86"/>
      <c r="E496" s="86"/>
      <c r="F496" s="11"/>
      <c r="G496" s="83"/>
      <c r="H496" s="94"/>
      <c r="K496" s="221"/>
    </row>
    <row r="497" spans="1:11" s="2" customFormat="1" x14ac:dyDescent="0.2">
      <c r="A497" s="13"/>
      <c r="B497" s="13"/>
      <c r="C497" s="12"/>
      <c r="D497" s="86"/>
      <c r="E497" s="86"/>
      <c r="F497" s="11"/>
      <c r="G497" s="83"/>
      <c r="H497" s="94"/>
      <c r="K497" s="221"/>
    </row>
    <row r="498" spans="1:11" s="2" customFormat="1" x14ac:dyDescent="0.2">
      <c r="A498" s="13"/>
      <c r="B498" s="13"/>
      <c r="C498" s="12"/>
      <c r="D498" s="86"/>
      <c r="E498" s="86"/>
      <c r="F498" s="11"/>
      <c r="G498" s="83"/>
      <c r="H498" s="94"/>
      <c r="K498" s="221"/>
    </row>
    <row r="499" spans="1:11" s="2" customFormat="1" x14ac:dyDescent="0.2">
      <c r="A499" s="13"/>
      <c r="B499" s="13"/>
      <c r="C499" s="12"/>
      <c r="D499" s="86"/>
      <c r="E499" s="86"/>
      <c r="F499" s="11"/>
      <c r="G499" s="83"/>
      <c r="H499" s="94"/>
      <c r="K499" s="221"/>
    </row>
    <row r="500" spans="1:11" s="2" customFormat="1" x14ac:dyDescent="0.2">
      <c r="A500" s="13"/>
      <c r="B500" s="13"/>
      <c r="C500" s="12"/>
      <c r="D500" s="86"/>
      <c r="E500" s="86"/>
      <c r="F500" s="11"/>
      <c r="G500" s="83"/>
      <c r="H500" s="94"/>
      <c r="K500" s="221"/>
    </row>
    <row r="501" spans="1:11" s="2" customFormat="1" x14ac:dyDescent="0.2">
      <c r="A501" s="13"/>
      <c r="B501" s="13"/>
      <c r="C501" s="12"/>
      <c r="D501" s="86"/>
      <c r="E501" s="86"/>
      <c r="F501" s="11"/>
      <c r="G501" s="83"/>
      <c r="H501" s="94"/>
      <c r="K501" s="221"/>
    </row>
    <row r="502" spans="1:11" s="2" customFormat="1" x14ac:dyDescent="0.2">
      <c r="A502" s="13"/>
      <c r="B502" s="13"/>
      <c r="C502" s="12"/>
      <c r="D502" s="86"/>
      <c r="E502" s="86"/>
      <c r="F502" s="11"/>
      <c r="G502" s="83"/>
      <c r="H502" s="94"/>
      <c r="K502" s="221"/>
    </row>
    <row r="503" spans="1:11" s="2" customFormat="1" x14ac:dyDescent="0.2">
      <c r="A503" s="13"/>
      <c r="B503" s="13"/>
      <c r="C503" s="12"/>
      <c r="D503" s="86"/>
      <c r="E503" s="86"/>
      <c r="F503" s="11"/>
      <c r="G503" s="83"/>
      <c r="H503" s="94"/>
      <c r="K503" s="221"/>
    </row>
    <row r="504" spans="1:11" s="2" customFormat="1" x14ac:dyDescent="0.2">
      <c r="A504" s="13"/>
      <c r="B504" s="13"/>
      <c r="C504" s="12"/>
      <c r="D504" s="86"/>
      <c r="E504" s="86"/>
      <c r="F504" s="11"/>
      <c r="G504" s="83"/>
      <c r="H504" s="94"/>
      <c r="K504" s="221"/>
    </row>
    <row r="505" spans="1:11" s="2" customFormat="1" x14ac:dyDescent="0.2">
      <c r="A505" s="13"/>
      <c r="B505" s="13"/>
      <c r="C505" s="12"/>
      <c r="D505" s="86"/>
      <c r="E505" s="86"/>
      <c r="F505" s="11"/>
      <c r="G505" s="83"/>
      <c r="H505" s="94"/>
      <c r="K505" s="221"/>
    </row>
    <row r="506" spans="1:11" s="2" customFormat="1" x14ac:dyDescent="0.2">
      <c r="A506" s="13"/>
      <c r="B506" s="13"/>
      <c r="C506" s="12"/>
      <c r="D506" s="86"/>
      <c r="E506" s="86"/>
      <c r="F506" s="11"/>
      <c r="G506" s="83"/>
      <c r="H506" s="94"/>
      <c r="K506" s="221"/>
    </row>
    <row r="507" spans="1:11" s="2" customFormat="1" x14ac:dyDescent="0.2">
      <c r="A507" s="13"/>
      <c r="B507" s="13"/>
      <c r="C507" s="12"/>
      <c r="D507" s="86"/>
      <c r="E507" s="86"/>
      <c r="F507" s="11"/>
      <c r="G507" s="83"/>
      <c r="H507" s="94"/>
      <c r="K507" s="221"/>
    </row>
    <row r="508" spans="1:11" s="2" customFormat="1" x14ac:dyDescent="0.2">
      <c r="A508" s="13"/>
      <c r="B508" s="13"/>
      <c r="C508" s="12"/>
      <c r="D508" s="86"/>
      <c r="E508" s="86"/>
      <c r="F508" s="11"/>
      <c r="G508" s="83"/>
      <c r="H508" s="94"/>
      <c r="K508" s="221"/>
    </row>
    <row r="509" spans="1:11" s="2" customFormat="1" x14ac:dyDescent="0.2">
      <c r="A509" s="13"/>
      <c r="B509" s="13"/>
      <c r="C509" s="12"/>
      <c r="D509" s="86"/>
      <c r="E509" s="86"/>
      <c r="F509" s="11"/>
      <c r="G509" s="83"/>
      <c r="H509" s="94"/>
      <c r="K509" s="221"/>
    </row>
    <row r="510" spans="1:11" s="2" customFormat="1" x14ac:dyDescent="0.2">
      <c r="A510" s="13"/>
      <c r="B510" s="13"/>
      <c r="C510" s="12"/>
      <c r="D510" s="86"/>
      <c r="E510" s="86"/>
      <c r="F510" s="11"/>
      <c r="G510" s="83"/>
      <c r="H510" s="94"/>
      <c r="K510" s="221"/>
    </row>
    <row r="511" spans="1:11" s="2" customFormat="1" x14ac:dyDescent="0.2">
      <c r="A511" s="13"/>
      <c r="B511" s="13"/>
      <c r="C511" s="12"/>
      <c r="D511" s="86"/>
      <c r="E511" s="86"/>
      <c r="F511" s="11"/>
      <c r="G511" s="83"/>
      <c r="H511" s="94"/>
      <c r="K511" s="221"/>
    </row>
    <row r="512" spans="1:11" s="2" customFormat="1" x14ac:dyDescent="0.2">
      <c r="A512" s="13"/>
      <c r="B512" s="13"/>
      <c r="C512" s="12"/>
      <c r="D512" s="86"/>
      <c r="E512" s="86"/>
      <c r="F512" s="11"/>
      <c r="G512" s="83"/>
      <c r="H512" s="94"/>
      <c r="K512" s="221"/>
    </row>
    <row r="513" spans="1:11" s="2" customFormat="1" x14ac:dyDescent="0.2">
      <c r="A513" s="13"/>
      <c r="B513" s="13"/>
      <c r="C513" s="12"/>
      <c r="D513" s="86"/>
      <c r="E513" s="86"/>
      <c r="F513" s="11"/>
      <c r="G513" s="83"/>
      <c r="H513" s="94"/>
      <c r="K513" s="221"/>
    </row>
    <row r="514" spans="1:11" s="2" customFormat="1" x14ac:dyDescent="0.2">
      <c r="A514" s="13"/>
      <c r="B514" s="13"/>
      <c r="C514" s="12"/>
      <c r="D514" s="86"/>
      <c r="E514" s="86"/>
      <c r="F514" s="11"/>
      <c r="G514" s="83"/>
      <c r="H514" s="94"/>
      <c r="K514" s="221"/>
    </row>
    <row r="515" spans="1:11" s="2" customFormat="1" x14ac:dyDescent="0.2">
      <c r="A515" s="13"/>
      <c r="B515" s="13"/>
      <c r="C515" s="12"/>
      <c r="D515" s="86"/>
      <c r="E515" s="86"/>
      <c r="F515" s="11"/>
      <c r="G515" s="83"/>
      <c r="H515" s="94"/>
      <c r="K515" s="221"/>
    </row>
    <row r="516" spans="1:11" s="2" customFormat="1" x14ac:dyDescent="0.2">
      <c r="A516" s="13"/>
      <c r="B516" s="13"/>
      <c r="C516" s="12"/>
      <c r="D516" s="86"/>
      <c r="E516" s="86"/>
      <c r="F516" s="11"/>
      <c r="G516" s="83"/>
      <c r="H516" s="94"/>
      <c r="K516" s="221"/>
    </row>
    <row r="517" spans="1:11" s="2" customFormat="1" x14ac:dyDescent="0.2">
      <c r="A517" s="13"/>
      <c r="B517" s="13"/>
      <c r="C517" s="12"/>
      <c r="D517" s="86"/>
      <c r="E517" s="86"/>
      <c r="F517" s="11"/>
      <c r="G517" s="83"/>
      <c r="H517" s="94"/>
      <c r="K517" s="221"/>
    </row>
    <row r="518" spans="1:11" s="2" customFormat="1" x14ac:dyDescent="0.2">
      <c r="A518" s="13"/>
      <c r="B518" s="13"/>
      <c r="C518" s="12"/>
      <c r="D518" s="86"/>
      <c r="E518" s="86"/>
      <c r="F518" s="11"/>
      <c r="G518" s="83"/>
      <c r="H518" s="94"/>
      <c r="K518" s="221"/>
    </row>
    <row r="519" spans="1:11" s="2" customFormat="1" x14ac:dyDescent="0.2">
      <c r="A519" s="13"/>
      <c r="B519" s="13"/>
      <c r="C519" s="12"/>
      <c r="D519" s="86"/>
      <c r="E519" s="86"/>
      <c r="F519" s="11"/>
      <c r="G519" s="83"/>
      <c r="H519" s="94"/>
      <c r="K519" s="221"/>
    </row>
    <row r="520" spans="1:11" s="2" customFormat="1" x14ac:dyDescent="0.2">
      <c r="A520" s="13"/>
      <c r="B520" s="13"/>
      <c r="C520" s="12"/>
      <c r="D520" s="86"/>
      <c r="E520" s="86"/>
      <c r="F520" s="11"/>
      <c r="G520" s="83"/>
      <c r="H520" s="94"/>
      <c r="K520" s="221"/>
    </row>
    <row r="521" spans="1:11" s="2" customFormat="1" x14ac:dyDescent="0.2">
      <c r="A521" s="13"/>
      <c r="B521" s="13"/>
      <c r="C521" s="12"/>
      <c r="D521" s="86"/>
      <c r="E521" s="86"/>
      <c r="F521" s="11"/>
      <c r="G521" s="83"/>
      <c r="H521" s="94"/>
      <c r="K521" s="221"/>
    </row>
    <row r="522" spans="1:11" s="2" customFormat="1" x14ac:dyDescent="0.2">
      <c r="A522" s="13"/>
      <c r="B522" s="13"/>
      <c r="C522" s="12"/>
      <c r="D522" s="86"/>
      <c r="E522" s="86"/>
      <c r="F522" s="11"/>
      <c r="G522" s="83"/>
      <c r="H522" s="94"/>
      <c r="K522" s="221"/>
    </row>
    <row r="523" spans="1:11" s="2" customFormat="1" x14ac:dyDescent="0.2">
      <c r="A523" s="13"/>
      <c r="B523" s="13"/>
      <c r="C523" s="12"/>
      <c r="D523" s="86"/>
      <c r="E523" s="86"/>
      <c r="F523" s="11"/>
      <c r="G523" s="83"/>
      <c r="H523" s="94"/>
      <c r="K523" s="221"/>
    </row>
    <row r="524" spans="1:11" s="2" customFormat="1" x14ac:dyDescent="0.2">
      <c r="A524" s="13"/>
      <c r="B524" s="13"/>
      <c r="C524" s="12"/>
      <c r="D524" s="86"/>
      <c r="E524" s="86"/>
      <c r="F524" s="11"/>
      <c r="G524" s="83"/>
      <c r="H524" s="94"/>
      <c r="K524" s="221"/>
    </row>
    <row r="525" spans="1:11" s="2" customFormat="1" x14ac:dyDescent="0.2">
      <c r="A525" s="13"/>
      <c r="B525" s="13"/>
      <c r="C525" s="12"/>
      <c r="D525" s="86"/>
      <c r="E525" s="86"/>
      <c r="F525" s="11"/>
      <c r="G525" s="83"/>
      <c r="H525" s="94"/>
      <c r="K525" s="221"/>
    </row>
    <row r="526" spans="1:11" s="2" customFormat="1" x14ac:dyDescent="0.2">
      <c r="A526" s="13"/>
      <c r="B526" s="13"/>
      <c r="C526" s="12"/>
      <c r="D526" s="86"/>
      <c r="E526" s="86"/>
      <c r="F526" s="11"/>
      <c r="G526" s="83"/>
      <c r="H526" s="94"/>
      <c r="K526" s="221"/>
    </row>
    <row r="527" spans="1:11" s="2" customFormat="1" x14ac:dyDescent="0.2">
      <c r="A527" s="13"/>
      <c r="B527" s="13"/>
      <c r="C527" s="12"/>
      <c r="D527" s="86"/>
      <c r="E527" s="86"/>
      <c r="F527" s="11"/>
      <c r="G527" s="83"/>
      <c r="H527" s="94"/>
      <c r="K527" s="221"/>
    </row>
    <row r="528" spans="1:11" s="2" customFormat="1" x14ac:dyDescent="0.2">
      <c r="A528" s="13"/>
      <c r="B528" s="13"/>
      <c r="C528" s="12"/>
      <c r="D528" s="86"/>
      <c r="E528" s="86"/>
      <c r="F528" s="11"/>
      <c r="G528" s="83"/>
      <c r="H528" s="94"/>
      <c r="K528" s="221"/>
    </row>
    <row r="529" spans="1:11" s="2" customFormat="1" x14ac:dyDescent="0.2">
      <c r="A529" s="13"/>
      <c r="B529" s="13"/>
      <c r="C529" s="12"/>
      <c r="D529" s="86"/>
      <c r="E529" s="86"/>
      <c r="F529" s="11"/>
      <c r="G529" s="83"/>
      <c r="H529" s="94"/>
      <c r="K529" s="221"/>
    </row>
    <row r="530" spans="1:11" s="2" customFormat="1" x14ac:dyDescent="0.2">
      <c r="A530" s="13"/>
      <c r="B530" s="13"/>
      <c r="C530" s="12"/>
      <c r="D530" s="86"/>
      <c r="E530" s="86"/>
      <c r="F530" s="11"/>
      <c r="G530" s="83"/>
      <c r="H530" s="94"/>
      <c r="K530" s="221"/>
    </row>
    <row r="531" spans="1:11" s="2" customFormat="1" x14ac:dyDescent="0.2">
      <c r="A531" s="13"/>
      <c r="B531" s="13"/>
      <c r="C531" s="12"/>
      <c r="D531" s="86"/>
      <c r="E531" s="86"/>
      <c r="F531" s="11"/>
      <c r="G531" s="83"/>
      <c r="H531" s="94"/>
      <c r="K531" s="221"/>
    </row>
    <row r="532" spans="1:11" s="2" customFormat="1" x14ac:dyDescent="0.2">
      <c r="A532" s="13"/>
      <c r="B532" s="13"/>
      <c r="C532" s="12"/>
      <c r="D532" s="86"/>
      <c r="E532" s="86"/>
      <c r="F532" s="11"/>
      <c r="G532" s="83"/>
      <c r="H532" s="94"/>
      <c r="K532" s="221"/>
    </row>
    <row r="533" spans="1:11" s="2" customFormat="1" x14ac:dyDescent="0.2">
      <c r="A533" s="13"/>
      <c r="B533" s="13"/>
      <c r="C533" s="12"/>
      <c r="D533" s="86"/>
      <c r="E533" s="86"/>
      <c r="F533" s="11"/>
      <c r="G533" s="83"/>
      <c r="H533" s="94"/>
      <c r="K533" s="221"/>
    </row>
    <row r="534" spans="1:11" s="2" customFormat="1" x14ac:dyDescent="0.2">
      <c r="A534" s="13"/>
      <c r="B534" s="13"/>
      <c r="C534" s="12"/>
      <c r="D534" s="86"/>
      <c r="E534" s="86"/>
      <c r="F534" s="11"/>
      <c r="G534" s="83"/>
      <c r="H534" s="94"/>
      <c r="K534" s="221"/>
    </row>
    <row r="535" spans="1:11" s="2" customFormat="1" x14ac:dyDescent="0.2">
      <c r="A535" s="13"/>
      <c r="B535" s="13"/>
      <c r="C535" s="12"/>
      <c r="D535" s="86"/>
      <c r="E535" s="86"/>
      <c r="F535" s="11"/>
      <c r="G535" s="83"/>
      <c r="H535" s="94"/>
      <c r="K535" s="221"/>
    </row>
    <row r="536" spans="1:11" s="2" customFormat="1" x14ac:dyDescent="0.2">
      <c r="A536" s="13"/>
      <c r="B536" s="13"/>
      <c r="C536" s="12"/>
      <c r="D536" s="86"/>
      <c r="E536" s="86"/>
      <c r="F536" s="11"/>
      <c r="G536" s="83"/>
      <c r="H536" s="94"/>
      <c r="K536" s="221"/>
    </row>
    <row r="537" spans="1:11" s="2" customFormat="1" x14ac:dyDescent="0.2">
      <c r="A537" s="13"/>
      <c r="B537" s="13"/>
      <c r="C537" s="12"/>
      <c r="D537" s="86"/>
      <c r="E537" s="86"/>
      <c r="F537" s="11"/>
      <c r="G537" s="83"/>
      <c r="H537" s="94"/>
      <c r="K537" s="221"/>
    </row>
    <row r="538" spans="1:11" s="2" customFormat="1" x14ac:dyDescent="0.2">
      <c r="A538" s="13"/>
      <c r="B538" s="13"/>
      <c r="C538" s="12"/>
      <c r="D538" s="86"/>
      <c r="E538" s="86"/>
      <c r="F538" s="11"/>
      <c r="G538" s="83"/>
      <c r="H538" s="94"/>
      <c r="K538" s="221"/>
    </row>
    <row r="539" spans="1:11" s="2" customFormat="1" x14ac:dyDescent="0.2">
      <c r="A539" s="13"/>
      <c r="B539" s="13"/>
      <c r="C539" s="12"/>
      <c r="D539" s="86"/>
      <c r="E539" s="86"/>
      <c r="F539" s="11"/>
      <c r="G539" s="83"/>
      <c r="H539" s="94"/>
      <c r="K539" s="221"/>
    </row>
    <row r="540" spans="1:11" s="2" customFormat="1" x14ac:dyDescent="0.2">
      <c r="A540" s="13"/>
      <c r="B540" s="13"/>
      <c r="C540" s="12"/>
      <c r="D540" s="86"/>
      <c r="E540" s="86"/>
      <c r="F540" s="11"/>
      <c r="G540" s="83"/>
      <c r="H540" s="94"/>
      <c r="K540" s="221"/>
    </row>
    <row r="541" spans="1:11" s="2" customFormat="1" x14ac:dyDescent="0.2">
      <c r="A541" s="13"/>
      <c r="B541" s="13"/>
      <c r="C541" s="12"/>
      <c r="D541" s="86"/>
      <c r="E541" s="86"/>
      <c r="F541" s="11"/>
      <c r="G541" s="83"/>
      <c r="H541" s="94"/>
      <c r="K541" s="221"/>
    </row>
    <row r="542" spans="1:11" s="2" customFormat="1" x14ac:dyDescent="0.2">
      <c r="A542" s="13"/>
      <c r="B542" s="13"/>
      <c r="C542" s="12"/>
      <c r="D542" s="86"/>
      <c r="E542" s="86"/>
      <c r="F542" s="11"/>
      <c r="G542" s="83"/>
      <c r="H542" s="94"/>
      <c r="K542" s="221"/>
    </row>
    <row r="543" spans="1:11" s="2" customFormat="1" x14ac:dyDescent="0.2">
      <c r="A543" s="13"/>
      <c r="B543" s="13"/>
      <c r="C543" s="12"/>
      <c r="D543" s="86"/>
      <c r="E543" s="86"/>
      <c r="F543" s="11"/>
      <c r="G543" s="83"/>
      <c r="H543" s="94"/>
      <c r="K543" s="221"/>
    </row>
    <row r="544" spans="1:11" s="2" customFormat="1" x14ac:dyDescent="0.2">
      <c r="A544" s="13"/>
      <c r="B544" s="13"/>
      <c r="C544" s="12"/>
      <c r="D544" s="86"/>
      <c r="E544" s="86"/>
      <c r="F544" s="11"/>
      <c r="G544" s="83"/>
      <c r="H544" s="94"/>
      <c r="K544" s="221"/>
    </row>
    <row r="545" spans="1:11" s="2" customFormat="1" x14ac:dyDescent="0.2">
      <c r="A545" s="13"/>
      <c r="B545" s="13"/>
      <c r="C545" s="12"/>
      <c r="D545" s="86"/>
      <c r="E545" s="86"/>
      <c r="F545" s="11"/>
      <c r="G545" s="83"/>
      <c r="H545" s="94"/>
      <c r="K545" s="221"/>
    </row>
    <row r="546" spans="1:11" s="2" customFormat="1" x14ac:dyDescent="0.2">
      <c r="A546" s="13"/>
      <c r="B546" s="13"/>
      <c r="C546" s="12"/>
      <c r="D546" s="86"/>
      <c r="E546" s="86"/>
      <c r="F546" s="11"/>
      <c r="G546" s="83"/>
      <c r="H546" s="94"/>
      <c r="K546" s="221"/>
    </row>
    <row r="547" spans="1:11" s="2" customFormat="1" x14ac:dyDescent="0.2">
      <c r="A547" s="13"/>
      <c r="B547" s="13"/>
      <c r="C547" s="12"/>
      <c r="D547" s="86"/>
      <c r="E547" s="86"/>
      <c r="F547" s="11"/>
      <c r="G547" s="83"/>
      <c r="H547" s="94"/>
      <c r="K547" s="221"/>
    </row>
    <row r="548" spans="1:11" s="2" customFormat="1" x14ac:dyDescent="0.2">
      <c r="A548" s="13"/>
      <c r="B548" s="13"/>
      <c r="C548" s="12"/>
      <c r="D548" s="86"/>
      <c r="E548" s="86"/>
      <c r="F548" s="11"/>
      <c r="G548" s="83"/>
      <c r="H548" s="94"/>
      <c r="K548" s="221"/>
    </row>
    <row r="549" spans="1:11" s="2" customFormat="1" x14ac:dyDescent="0.2">
      <c r="A549" s="13"/>
      <c r="B549" s="13"/>
      <c r="C549" s="12"/>
      <c r="D549" s="86"/>
      <c r="E549" s="86"/>
      <c r="F549" s="11"/>
      <c r="G549" s="83"/>
      <c r="H549" s="94"/>
      <c r="K549" s="221"/>
    </row>
    <row r="550" spans="1:11" s="2" customFormat="1" x14ac:dyDescent="0.2">
      <c r="A550" s="13"/>
      <c r="B550" s="13"/>
      <c r="C550" s="12"/>
      <c r="D550" s="86"/>
      <c r="E550" s="86"/>
      <c r="F550" s="11"/>
      <c r="G550" s="83"/>
      <c r="H550" s="94"/>
      <c r="K550" s="221"/>
    </row>
    <row r="551" spans="1:11" s="2" customFormat="1" x14ac:dyDescent="0.2">
      <c r="A551" s="13"/>
      <c r="B551" s="13"/>
      <c r="C551" s="12"/>
      <c r="D551" s="86"/>
      <c r="E551" s="86"/>
      <c r="F551" s="11"/>
      <c r="G551" s="83"/>
      <c r="H551" s="94"/>
      <c r="K551" s="221"/>
    </row>
    <row r="552" spans="1:11" s="2" customFormat="1" x14ac:dyDescent="0.2">
      <c r="A552" s="13"/>
      <c r="B552" s="13"/>
      <c r="C552" s="12"/>
      <c r="D552" s="86"/>
      <c r="E552" s="86"/>
      <c r="F552" s="11"/>
      <c r="G552" s="83"/>
      <c r="H552" s="94"/>
      <c r="K552" s="221"/>
    </row>
    <row r="553" spans="1:11" s="2" customFormat="1" x14ac:dyDescent="0.2">
      <c r="A553" s="13"/>
      <c r="B553" s="13"/>
      <c r="C553" s="12"/>
      <c r="D553" s="86"/>
      <c r="E553" s="86"/>
      <c r="F553" s="11"/>
      <c r="G553" s="83"/>
      <c r="H553" s="94"/>
      <c r="K553" s="221"/>
    </row>
    <row r="554" spans="1:11" s="2" customFormat="1" x14ac:dyDescent="0.2">
      <c r="A554" s="13"/>
      <c r="B554" s="13"/>
      <c r="C554" s="12"/>
      <c r="D554" s="86"/>
      <c r="E554" s="86"/>
      <c r="F554" s="11"/>
      <c r="G554" s="83"/>
      <c r="H554" s="94"/>
      <c r="K554" s="221"/>
    </row>
    <row r="555" spans="1:11" s="2" customFormat="1" x14ac:dyDescent="0.2">
      <c r="A555" s="13"/>
      <c r="B555" s="13"/>
      <c r="C555" s="12"/>
      <c r="D555" s="86"/>
      <c r="E555" s="86"/>
      <c r="F555" s="11"/>
      <c r="G555" s="83"/>
      <c r="H555" s="94"/>
      <c r="K555" s="221"/>
    </row>
    <row r="556" spans="1:11" s="2" customFormat="1" x14ac:dyDescent="0.2">
      <c r="A556" s="13"/>
      <c r="B556" s="13"/>
      <c r="C556" s="12"/>
      <c r="D556" s="86"/>
      <c r="E556" s="86"/>
      <c r="F556" s="11"/>
      <c r="G556" s="83"/>
      <c r="H556" s="94"/>
      <c r="K556" s="221"/>
    </row>
    <row r="557" spans="1:11" s="2" customFormat="1" x14ac:dyDescent="0.2">
      <c r="A557" s="13"/>
      <c r="B557" s="13"/>
      <c r="C557" s="12"/>
      <c r="D557" s="86"/>
      <c r="E557" s="86"/>
      <c r="F557" s="11"/>
      <c r="G557" s="83"/>
      <c r="H557" s="94"/>
      <c r="K557" s="221"/>
    </row>
    <row r="558" spans="1:11" s="2" customFormat="1" x14ac:dyDescent="0.2">
      <c r="A558" s="13"/>
      <c r="B558" s="13"/>
      <c r="C558" s="12"/>
      <c r="D558" s="86"/>
      <c r="E558" s="86"/>
      <c r="F558" s="11"/>
      <c r="G558" s="83"/>
      <c r="H558" s="94"/>
      <c r="K558" s="221"/>
    </row>
    <row r="559" spans="1:11" s="2" customFormat="1" x14ac:dyDescent="0.2">
      <c r="A559" s="13"/>
      <c r="B559" s="13"/>
      <c r="C559" s="12"/>
      <c r="D559" s="86"/>
      <c r="E559" s="86"/>
      <c r="F559" s="11"/>
      <c r="G559" s="83"/>
      <c r="H559" s="94"/>
      <c r="K559" s="221"/>
    </row>
    <row r="560" spans="1:11" s="2" customFormat="1" x14ac:dyDescent="0.2">
      <c r="A560" s="13"/>
      <c r="B560" s="13"/>
      <c r="C560" s="12"/>
      <c r="D560" s="86"/>
      <c r="E560" s="86"/>
      <c r="F560" s="11"/>
      <c r="G560" s="83"/>
      <c r="H560" s="94"/>
      <c r="K560" s="221"/>
    </row>
    <row r="561" spans="1:11" s="2" customFormat="1" x14ac:dyDescent="0.2">
      <c r="A561" s="13"/>
      <c r="B561" s="13"/>
      <c r="C561" s="12"/>
      <c r="D561" s="86"/>
      <c r="E561" s="86"/>
      <c r="F561" s="11"/>
      <c r="G561" s="83"/>
      <c r="H561" s="94"/>
      <c r="K561" s="221"/>
    </row>
    <row r="562" spans="1:11" s="2" customFormat="1" x14ac:dyDescent="0.2">
      <c r="A562" s="13"/>
      <c r="B562" s="13"/>
      <c r="C562" s="12"/>
      <c r="D562" s="86"/>
      <c r="E562" s="86"/>
      <c r="F562" s="11"/>
      <c r="G562" s="83"/>
      <c r="H562" s="94"/>
      <c r="K562" s="221"/>
    </row>
    <row r="563" spans="1:11" s="2" customFormat="1" x14ac:dyDescent="0.2">
      <c r="A563" s="13"/>
      <c r="B563" s="13"/>
      <c r="C563" s="12"/>
      <c r="D563" s="86"/>
      <c r="E563" s="86"/>
      <c r="F563" s="11"/>
      <c r="G563" s="83"/>
      <c r="H563" s="94"/>
      <c r="K563" s="221"/>
    </row>
    <row r="564" spans="1:11" s="2" customFormat="1" x14ac:dyDescent="0.2">
      <c r="A564" s="13"/>
      <c r="B564" s="13"/>
      <c r="C564" s="12"/>
      <c r="D564" s="86"/>
      <c r="E564" s="86"/>
      <c r="F564" s="11"/>
      <c r="G564" s="83"/>
      <c r="H564" s="94"/>
      <c r="K564" s="221"/>
    </row>
    <row r="565" spans="1:11" s="2" customFormat="1" x14ac:dyDescent="0.2">
      <c r="A565" s="13"/>
      <c r="B565" s="13"/>
      <c r="C565" s="12"/>
      <c r="D565" s="86"/>
      <c r="E565" s="86"/>
      <c r="F565" s="11"/>
      <c r="G565" s="83"/>
      <c r="H565" s="94"/>
      <c r="K565" s="221"/>
    </row>
    <row r="566" spans="1:11" s="2" customFormat="1" x14ac:dyDescent="0.2">
      <c r="A566" s="13"/>
      <c r="B566" s="13"/>
      <c r="C566" s="12"/>
      <c r="D566" s="86"/>
      <c r="E566" s="86"/>
      <c r="F566" s="11"/>
      <c r="G566" s="83"/>
      <c r="H566" s="94"/>
      <c r="K566" s="221"/>
    </row>
    <row r="567" spans="1:11" s="2" customFormat="1" x14ac:dyDescent="0.2">
      <c r="A567" s="13"/>
      <c r="B567" s="13"/>
      <c r="C567" s="12"/>
      <c r="D567" s="86"/>
      <c r="E567" s="86"/>
      <c r="F567" s="11"/>
      <c r="G567" s="83"/>
      <c r="H567" s="94"/>
      <c r="K567" s="221"/>
    </row>
    <row r="568" spans="1:11" s="2" customFormat="1" x14ac:dyDescent="0.2">
      <c r="A568" s="13"/>
      <c r="B568" s="13"/>
      <c r="C568" s="12"/>
      <c r="D568" s="86"/>
      <c r="E568" s="86"/>
      <c r="F568" s="11"/>
      <c r="G568" s="83"/>
      <c r="H568" s="94"/>
      <c r="K568" s="221"/>
    </row>
    <row r="569" spans="1:11" s="2" customFormat="1" x14ac:dyDescent="0.2">
      <c r="A569" s="13"/>
      <c r="B569" s="13"/>
      <c r="C569" s="12"/>
      <c r="D569" s="86"/>
      <c r="E569" s="86"/>
      <c r="F569" s="11"/>
      <c r="G569" s="83"/>
      <c r="H569" s="94"/>
      <c r="K569" s="221"/>
    </row>
    <row r="570" spans="1:11" s="2" customFormat="1" x14ac:dyDescent="0.2">
      <c r="A570" s="13"/>
      <c r="B570" s="13"/>
      <c r="C570" s="12"/>
      <c r="D570" s="86"/>
      <c r="E570" s="86"/>
      <c r="F570" s="11"/>
      <c r="G570" s="83"/>
      <c r="H570" s="94"/>
      <c r="K570" s="221"/>
    </row>
    <row r="571" spans="1:11" s="2" customFormat="1" x14ac:dyDescent="0.2">
      <c r="A571" s="13"/>
      <c r="B571" s="13"/>
      <c r="C571" s="12"/>
      <c r="D571" s="86"/>
      <c r="E571" s="86"/>
      <c r="F571" s="11"/>
      <c r="G571" s="83"/>
      <c r="H571" s="94"/>
      <c r="K571" s="221"/>
    </row>
    <row r="572" spans="1:11" s="2" customFormat="1" x14ac:dyDescent="0.2">
      <c r="A572" s="13"/>
      <c r="B572" s="13"/>
      <c r="C572" s="12"/>
      <c r="D572" s="86"/>
      <c r="E572" s="86"/>
      <c r="F572" s="11"/>
      <c r="G572" s="83"/>
      <c r="H572" s="94"/>
      <c r="K572" s="221"/>
    </row>
    <row r="573" spans="1:11" s="2" customFormat="1" x14ac:dyDescent="0.2">
      <c r="A573" s="13"/>
      <c r="B573" s="13"/>
      <c r="C573" s="12"/>
      <c r="D573" s="86"/>
      <c r="E573" s="86"/>
      <c r="F573" s="11"/>
      <c r="G573" s="83"/>
      <c r="H573" s="94"/>
      <c r="K573" s="221"/>
    </row>
    <row r="574" spans="1:11" s="2" customFormat="1" x14ac:dyDescent="0.2">
      <c r="A574" s="13"/>
      <c r="B574" s="13"/>
      <c r="C574" s="12"/>
      <c r="D574" s="86"/>
      <c r="E574" s="86"/>
      <c r="F574" s="11"/>
      <c r="G574" s="83"/>
      <c r="H574" s="94"/>
      <c r="K574" s="221"/>
    </row>
    <row r="575" spans="1:11" s="2" customFormat="1" x14ac:dyDescent="0.2">
      <c r="A575" s="13"/>
      <c r="B575" s="13"/>
      <c r="C575" s="12"/>
      <c r="D575" s="86"/>
      <c r="E575" s="86"/>
      <c r="F575" s="11"/>
      <c r="G575" s="83"/>
      <c r="H575" s="94"/>
      <c r="K575" s="221"/>
    </row>
    <row r="576" spans="1:11" s="2" customFormat="1" x14ac:dyDescent="0.2">
      <c r="A576" s="13"/>
      <c r="B576" s="13"/>
      <c r="C576" s="12"/>
      <c r="D576" s="86"/>
      <c r="E576" s="86"/>
      <c r="F576" s="11"/>
      <c r="G576" s="83"/>
      <c r="H576" s="94"/>
      <c r="K576" s="221"/>
    </row>
    <row r="577" spans="1:11" s="2" customFormat="1" x14ac:dyDescent="0.2">
      <c r="A577" s="13"/>
      <c r="B577" s="13"/>
      <c r="C577" s="12"/>
      <c r="D577" s="86"/>
      <c r="E577" s="86"/>
      <c r="F577" s="11"/>
      <c r="G577" s="83"/>
      <c r="H577" s="94"/>
      <c r="K577" s="221"/>
    </row>
    <row r="578" spans="1:11" s="2" customFormat="1" x14ac:dyDescent="0.2">
      <c r="A578" s="13"/>
      <c r="B578" s="13"/>
      <c r="C578" s="12"/>
      <c r="D578" s="86"/>
      <c r="E578" s="86"/>
      <c r="F578" s="11"/>
      <c r="G578" s="83"/>
      <c r="H578" s="94"/>
      <c r="K578" s="221"/>
    </row>
    <row r="579" spans="1:11" s="2" customFormat="1" x14ac:dyDescent="0.2">
      <c r="A579" s="13"/>
      <c r="B579" s="13"/>
      <c r="C579" s="12"/>
      <c r="D579" s="86"/>
      <c r="E579" s="86"/>
      <c r="F579" s="11"/>
      <c r="G579" s="83"/>
      <c r="H579" s="94"/>
      <c r="K579" s="221"/>
    </row>
    <row r="580" spans="1:11" s="2" customFormat="1" x14ac:dyDescent="0.2">
      <c r="A580" s="13"/>
      <c r="B580" s="13"/>
      <c r="C580" s="12"/>
      <c r="D580" s="86"/>
      <c r="E580" s="86"/>
      <c r="F580" s="11"/>
      <c r="G580" s="83"/>
      <c r="H580" s="94"/>
      <c r="K580" s="221"/>
    </row>
    <row r="581" spans="1:11" s="2" customFormat="1" x14ac:dyDescent="0.2">
      <c r="A581" s="13"/>
      <c r="B581" s="13"/>
      <c r="C581" s="12"/>
      <c r="D581" s="86"/>
      <c r="E581" s="86"/>
      <c r="F581" s="11"/>
      <c r="G581" s="83"/>
      <c r="H581" s="94"/>
      <c r="K581" s="221"/>
    </row>
    <row r="582" spans="1:11" s="2" customFormat="1" x14ac:dyDescent="0.2">
      <c r="A582" s="13"/>
      <c r="B582" s="13"/>
      <c r="C582" s="12"/>
      <c r="D582" s="86"/>
      <c r="E582" s="86"/>
      <c r="F582" s="11"/>
      <c r="G582" s="83"/>
      <c r="H582" s="94"/>
      <c r="K582" s="221"/>
    </row>
    <row r="583" spans="1:11" s="2" customFormat="1" x14ac:dyDescent="0.2">
      <c r="A583" s="13"/>
      <c r="B583" s="13"/>
      <c r="C583" s="12"/>
      <c r="D583" s="86"/>
      <c r="E583" s="86"/>
      <c r="F583" s="11"/>
      <c r="G583" s="83"/>
      <c r="H583" s="94"/>
      <c r="K583" s="221"/>
    </row>
    <row r="584" spans="1:11" s="2" customFormat="1" x14ac:dyDescent="0.2">
      <c r="A584" s="13"/>
      <c r="B584" s="13"/>
      <c r="C584" s="12"/>
      <c r="D584" s="86"/>
      <c r="E584" s="86"/>
      <c r="F584" s="11"/>
      <c r="G584" s="83"/>
      <c r="H584" s="94"/>
      <c r="K584" s="221"/>
    </row>
    <row r="585" spans="1:11" s="2" customFormat="1" x14ac:dyDescent="0.2">
      <c r="A585" s="13"/>
      <c r="B585" s="13"/>
      <c r="C585" s="12"/>
      <c r="D585" s="86"/>
      <c r="E585" s="86"/>
      <c r="F585" s="11"/>
      <c r="G585" s="83"/>
      <c r="H585" s="94"/>
      <c r="K585" s="221"/>
    </row>
    <row r="586" spans="1:11" s="2" customFormat="1" x14ac:dyDescent="0.2">
      <c r="A586" s="13"/>
      <c r="B586" s="13"/>
      <c r="C586" s="12"/>
      <c r="D586" s="86"/>
      <c r="E586" s="86"/>
      <c r="F586" s="11"/>
      <c r="G586" s="83"/>
      <c r="H586" s="94"/>
      <c r="K586" s="221"/>
    </row>
    <row r="587" spans="1:11" s="2" customFormat="1" x14ac:dyDescent="0.2">
      <c r="A587" s="13"/>
      <c r="B587" s="13"/>
      <c r="C587" s="12"/>
      <c r="D587" s="86"/>
      <c r="E587" s="86"/>
      <c r="F587" s="11"/>
      <c r="G587" s="83"/>
      <c r="H587" s="94"/>
      <c r="K587" s="221"/>
    </row>
    <row r="588" spans="1:11" s="2" customFormat="1" x14ac:dyDescent="0.2">
      <c r="A588" s="13"/>
      <c r="B588" s="13"/>
      <c r="C588" s="12"/>
      <c r="D588" s="86"/>
      <c r="E588" s="86"/>
      <c r="F588" s="11"/>
      <c r="G588" s="83"/>
      <c r="H588" s="94"/>
      <c r="K588" s="221"/>
    </row>
    <row r="589" spans="1:11" s="2" customFormat="1" x14ac:dyDescent="0.2">
      <c r="A589" s="13"/>
      <c r="B589" s="13"/>
      <c r="C589" s="12"/>
      <c r="D589" s="86"/>
      <c r="E589" s="86"/>
      <c r="F589" s="11"/>
      <c r="G589" s="83"/>
      <c r="H589" s="94"/>
      <c r="K589" s="221"/>
    </row>
    <row r="590" spans="1:11" s="2" customFormat="1" x14ac:dyDescent="0.2">
      <c r="A590" s="13"/>
      <c r="B590" s="13"/>
      <c r="C590" s="12"/>
      <c r="D590" s="86"/>
      <c r="E590" s="86"/>
      <c r="F590" s="11"/>
      <c r="G590" s="83"/>
      <c r="H590" s="94"/>
      <c r="K590" s="221"/>
    </row>
    <row r="591" spans="1:11" s="2" customFormat="1" x14ac:dyDescent="0.2">
      <c r="A591" s="13"/>
      <c r="B591" s="13"/>
      <c r="C591" s="12"/>
      <c r="D591" s="86"/>
      <c r="E591" s="86"/>
      <c r="F591" s="11"/>
      <c r="G591" s="83"/>
      <c r="H591" s="94"/>
      <c r="K591" s="221"/>
    </row>
    <row r="592" spans="1:11" s="2" customFormat="1" x14ac:dyDescent="0.2">
      <c r="A592" s="13"/>
      <c r="B592" s="13"/>
      <c r="C592" s="12"/>
      <c r="D592" s="86"/>
      <c r="E592" s="86"/>
      <c r="F592" s="11"/>
      <c r="G592" s="83"/>
      <c r="H592" s="94"/>
      <c r="K592" s="221"/>
    </row>
    <row r="593" spans="1:11" s="2" customFormat="1" x14ac:dyDescent="0.2">
      <c r="A593" s="13"/>
      <c r="B593" s="13"/>
      <c r="C593" s="12"/>
      <c r="D593" s="86"/>
      <c r="E593" s="86"/>
      <c r="F593" s="11"/>
      <c r="G593" s="83"/>
      <c r="H593" s="94"/>
      <c r="K593" s="221"/>
    </row>
    <row r="594" spans="1:11" s="2" customFormat="1" x14ac:dyDescent="0.2">
      <c r="A594" s="13"/>
      <c r="B594" s="13"/>
      <c r="C594" s="12"/>
      <c r="D594" s="86"/>
      <c r="E594" s="86"/>
      <c r="F594" s="11"/>
      <c r="G594" s="83"/>
      <c r="H594" s="94"/>
      <c r="K594" s="221"/>
    </row>
    <row r="595" spans="1:11" s="2" customFormat="1" x14ac:dyDescent="0.2">
      <c r="A595" s="13"/>
      <c r="B595" s="13"/>
      <c r="C595" s="12"/>
      <c r="D595" s="86"/>
      <c r="E595" s="86"/>
      <c r="F595" s="11"/>
      <c r="G595" s="83"/>
      <c r="H595" s="94"/>
      <c r="K595" s="221"/>
    </row>
    <row r="596" spans="1:11" s="2" customFormat="1" x14ac:dyDescent="0.2">
      <c r="A596" s="13"/>
      <c r="B596" s="13"/>
      <c r="C596" s="12"/>
      <c r="D596" s="86"/>
      <c r="E596" s="86"/>
      <c r="F596" s="11"/>
      <c r="G596" s="83"/>
      <c r="H596" s="94"/>
      <c r="K596" s="221"/>
    </row>
    <row r="597" spans="1:11" s="2" customFormat="1" x14ac:dyDescent="0.2">
      <c r="A597" s="13"/>
      <c r="B597" s="13"/>
      <c r="C597" s="12"/>
      <c r="D597" s="86"/>
      <c r="E597" s="86"/>
      <c r="F597" s="11"/>
      <c r="G597" s="83"/>
      <c r="H597" s="94"/>
      <c r="K597" s="221"/>
    </row>
    <row r="598" spans="1:11" s="2" customFormat="1" x14ac:dyDescent="0.2">
      <c r="A598" s="13"/>
      <c r="B598" s="13"/>
      <c r="C598" s="12"/>
      <c r="D598" s="86"/>
      <c r="E598" s="86"/>
      <c r="F598" s="11"/>
      <c r="G598" s="83"/>
      <c r="H598" s="94"/>
      <c r="K598" s="221"/>
    </row>
    <row r="599" spans="1:11" s="2" customFormat="1" x14ac:dyDescent="0.2">
      <c r="A599" s="13"/>
      <c r="B599" s="13"/>
      <c r="C599" s="12"/>
      <c r="D599" s="86"/>
      <c r="E599" s="86"/>
      <c r="F599" s="11"/>
      <c r="G599" s="83"/>
      <c r="H599" s="94"/>
      <c r="K599" s="221"/>
    </row>
    <row r="600" spans="1:11" s="2" customFormat="1" x14ac:dyDescent="0.2">
      <c r="A600" s="13"/>
      <c r="B600" s="13"/>
      <c r="C600" s="12"/>
      <c r="D600" s="86"/>
      <c r="E600" s="86"/>
      <c r="F600" s="11"/>
      <c r="G600" s="83"/>
      <c r="H600" s="94"/>
      <c r="K600" s="221"/>
    </row>
    <row r="601" spans="1:11" s="2" customFormat="1" x14ac:dyDescent="0.2">
      <c r="A601" s="13"/>
      <c r="B601" s="13"/>
      <c r="C601" s="12"/>
      <c r="D601" s="86"/>
      <c r="E601" s="86"/>
      <c r="F601" s="11"/>
      <c r="G601" s="83"/>
      <c r="H601" s="94"/>
      <c r="K601" s="221"/>
    </row>
    <row r="602" spans="1:11" s="2" customFormat="1" x14ac:dyDescent="0.2">
      <c r="A602" s="13"/>
      <c r="B602" s="13"/>
      <c r="C602" s="12"/>
      <c r="D602" s="86"/>
      <c r="E602" s="86"/>
      <c r="F602" s="11"/>
      <c r="G602" s="83"/>
      <c r="H602" s="94"/>
      <c r="K602" s="221"/>
    </row>
    <row r="603" spans="1:11" s="2" customFormat="1" x14ac:dyDescent="0.2">
      <c r="A603" s="13"/>
      <c r="B603" s="13"/>
      <c r="C603" s="12"/>
      <c r="D603" s="86"/>
      <c r="E603" s="86"/>
      <c r="F603" s="11"/>
      <c r="G603" s="83"/>
      <c r="H603" s="94"/>
      <c r="K603" s="221"/>
    </row>
    <row r="604" spans="1:11" s="2" customFormat="1" x14ac:dyDescent="0.2">
      <c r="A604" s="13"/>
      <c r="B604" s="13"/>
      <c r="C604" s="12"/>
      <c r="D604" s="86"/>
      <c r="E604" s="86"/>
      <c r="F604" s="11"/>
      <c r="G604" s="83"/>
      <c r="H604" s="94"/>
      <c r="K604" s="221"/>
    </row>
    <row r="605" spans="1:11" s="2" customFormat="1" x14ac:dyDescent="0.2">
      <c r="A605" s="13"/>
      <c r="B605" s="13"/>
      <c r="C605" s="12"/>
      <c r="D605" s="86"/>
      <c r="E605" s="86"/>
      <c r="F605" s="11"/>
      <c r="G605" s="83"/>
      <c r="H605" s="94"/>
      <c r="K605" s="221"/>
    </row>
    <row r="606" spans="1:11" s="2" customFormat="1" x14ac:dyDescent="0.2">
      <c r="A606" s="13"/>
      <c r="B606" s="13"/>
      <c r="C606" s="12"/>
      <c r="D606" s="86"/>
      <c r="E606" s="86"/>
      <c r="F606" s="11"/>
      <c r="G606" s="83"/>
      <c r="H606" s="94"/>
      <c r="K606" s="221"/>
    </row>
    <row r="607" spans="1:11" s="2" customFormat="1" x14ac:dyDescent="0.2">
      <c r="A607" s="13"/>
      <c r="B607" s="13"/>
      <c r="C607" s="12"/>
      <c r="D607" s="86"/>
      <c r="E607" s="86"/>
      <c r="F607" s="11"/>
      <c r="G607" s="83"/>
      <c r="H607" s="94"/>
      <c r="K607" s="221"/>
    </row>
    <row r="608" spans="1:11" s="2" customFormat="1" x14ac:dyDescent="0.2">
      <c r="A608" s="13"/>
      <c r="B608" s="13"/>
      <c r="C608" s="12"/>
      <c r="D608" s="86"/>
      <c r="E608" s="86"/>
      <c r="F608" s="11"/>
      <c r="G608" s="83"/>
      <c r="H608" s="94"/>
      <c r="K608" s="221"/>
    </row>
    <row r="609" spans="1:11" s="2" customFormat="1" x14ac:dyDescent="0.2">
      <c r="A609" s="13"/>
      <c r="B609" s="13"/>
      <c r="C609" s="12"/>
      <c r="D609" s="86"/>
      <c r="E609" s="86"/>
      <c r="F609" s="11"/>
      <c r="G609" s="83"/>
      <c r="H609" s="94"/>
      <c r="K609" s="221"/>
    </row>
    <row r="610" spans="1:11" s="2" customFormat="1" x14ac:dyDescent="0.2">
      <c r="A610" s="13"/>
      <c r="B610" s="13"/>
      <c r="C610" s="12"/>
      <c r="D610" s="86"/>
      <c r="E610" s="86"/>
      <c r="F610" s="11"/>
      <c r="G610" s="83"/>
      <c r="H610" s="94"/>
      <c r="K610" s="221"/>
    </row>
    <row r="611" spans="1:11" s="2" customFormat="1" x14ac:dyDescent="0.2">
      <c r="A611" s="13"/>
      <c r="B611" s="13"/>
      <c r="C611" s="12"/>
      <c r="D611" s="86"/>
      <c r="E611" s="86"/>
      <c r="F611" s="11"/>
      <c r="G611" s="83"/>
      <c r="H611" s="94"/>
      <c r="K611" s="221"/>
    </row>
    <row r="612" spans="1:11" s="2" customFormat="1" x14ac:dyDescent="0.2">
      <c r="A612" s="13"/>
      <c r="B612" s="13"/>
      <c r="C612" s="12"/>
      <c r="D612" s="86"/>
      <c r="E612" s="86"/>
      <c r="F612" s="11"/>
      <c r="G612" s="83"/>
      <c r="H612" s="94"/>
      <c r="K612" s="221"/>
    </row>
    <row r="613" spans="1:11" s="2" customFormat="1" x14ac:dyDescent="0.2">
      <c r="A613" s="13"/>
      <c r="B613" s="13"/>
      <c r="C613" s="12"/>
      <c r="D613" s="86"/>
      <c r="E613" s="86"/>
      <c r="F613" s="11"/>
      <c r="G613" s="83"/>
      <c r="H613" s="94"/>
      <c r="K613" s="221"/>
    </row>
    <row r="614" spans="1:11" s="2" customFormat="1" x14ac:dyDescent="0.2">
      <c r="A614" s="13"/>
      <c r="B614" s="13"/>
      <c r="C614" s="12"/>
      <c r="D614" s="86"/>
      <c r="E614" s="86"/>
      <c r="F614" s="11"/>
      <c r="G614" s="83"/>
      <c r="H614" s="94"/>
      <c r="K614" s="221"/>
    </row>
    <row r="615" spans="1:11" s="2" customFormat="1" x14ac:dyDescent="0.2">
      <c r="A615" s="13"/>
      <c r="B615" s="13"/>
      <c r="C615" s="12"/>
      <c r="D615" s="86"/>
      <c r="E615" s="86"/>
      <c r="F615" s="11"/>
      <c r="G615" s="83"/>
      <c r="H615" s="94"/>
      <c r="K615" s="221"/>
    </row>
    <row r="616" spans="1:11" s="2" customFormat="1" x14ac:dyDescent="0.2">
      <c r="A616" s="13"/>
      <c r="B616" s="13"/>
      <c r="C616" s="12"/>
      <c r="D616" s="86"/>
      <c r="E616" s="86"/>
      <c r="F616" s="11"/>
      <c r="G616" s="83"/>
      <c r="H616" s="94"/>
      <c r="K616" s="221"/>
    </row>
    <row r="617" spans="1:11" s="2" customFormat="1" x14ac:dyDescent="0.2">
      <c r="A617" s="13"/>
      <c r="B617" s="13"/>
      <c r="C617" s="12"/>
      <c r="D617" s="86"/>
      <c r="E617" s="86"/>
      <c r="F617" s="11"/>
      <c r="G617" s="83"/>
      <c r="H617" s="94"/>
      <c r="K617" s="221"/>
    </row>
    <row r="618" spans="1:11" s="2" customFormat="1" x14ac:dyDescent="0.2">
      <c r="A618" s="13"/>
      <c r="B618" s="13"/>
      <c r="C618" s="12"/>
      <c r="D618" s="86"/>
      <c r="E618" s="86"/>
      <c r="F618" s="11"/>
      <c r="G618" s="83"/>
      <c r="H618" s="94"/>
      <c r="K618" s="221"/>
    </row>
    <row r="619" spans="1:11" s="2" customFormat="1" x14ac:dyDescent="0.2">
      <c r="A619" s="13"/>
      <c r="B619" s="13"/>
      <c r="C619" s="12"/>
      <c r="D619" s="86"/>
      <c r="E619" s="86"/>
      <c r="F619" s="11"/>
      <c r="G619" s="83"/>
      <c r="H619" s="94"/>
      <c r="K619" s="221"/>
    </row>
    <row r="620" spans="1:11" s="2" customFormat="1" x14ac:dyDescent="0.2">
      <c r="A620" s="13"/>
      <c r="B620" s="13"/>
      <c r="C620" s="12"/>
      <c r="D620" s="86"/>
      <c r="E620" s="86"/>
      <c r="F620" s="11"/>
      <c r="G620" s="83"/>
      <c r="H620" s="94"/>
      <c r="K620" s="221"/>
    </row>
    <row r="621" spans="1:11" s="2" customFormat="1" x14ac:dyDescent="0.2">
      <c r="A621" s="13"/>
      <c r="B621" s="13"/>
      <c r="C621" s="12"/>
      <c r="D621" s="86"/>
      <c r="E621" s="86"/>
      <c r="F621" s="11"/>
      <c r="G621" s="83"/>
      <c r="H621" s="94"/>
      <c r="K621" s="221"/>
    </row>
    <row r="622" spans="1:11" s="2" customFormat="1" x14ac:dyDescent="0.2">
      <c r="A622" s="13"/>
      <c r="B622" s="13"/>
      <c r="C622" s="12"/>
      <c r="D622" s="86"/>
      <c r="E622" s="86"/>
      <c r="F622" s="11"/>
      <c r="G622" s="83"/>
      <c r="H622" s="94"/>
      <c r="K622" s="221"/>
    </row>
    <row r="623" spans="1:11" s="2" customFormat="1" x14ac:dyDescent="0.2">
      <c r="A623" s="13"/>
      <c r="B623" s="13"/>
      <c r="C623" s="12"/>
      <c r="D623" s="86"/>
      <c r="E623" s="86"/>
      <c r="F623" s="11"/>
      <c r="G623" s="83"/>
      <c r="H623" s="94"/>
      <c r="K623" s="221"/>
    </row>
    <row r="624" spans="1:11" s="2" customFormat="1" x14ac:dyDescent="0.2">
      <c r="A624" s="13"/>
      <c r="B624" s="13"/>
      <c r="C624" s="12"/>
      <c r="D624" s="86"/>
      <c r="E624" s="86"/>
      <c r="F624" s="11"/>
      <c r="G624" s="83"/>
      <c r="H624" s="94"/>
      <c r="K624" s="221"/>
    </row>
    <row r="625" spans="1:11" s="2" customFormat="1" x14ac:dyDescent="0.2">
      <c r="A625" s="13"/>
      <c r="B625" s="13"/>
      <c r="C625" s="12"/>
      <c r="D625" s="86"/>
      <c r="E625" s="86"/>
      <c r="F625" s="11"/>
      <c r="G625" s="83"/>
      <c r="H625" s="94"/>
      <c r="K625" s="221"/>
    </row>
    <row r="626" spans="1:11" s="2" customFormat="1" x14ac:dyDescent="0.2">
      <c r="A626" s="13"/>
      <c r="B626" s="13"/>
      <c r="C626" s="12"/>
      <c r="D626" s="86"/>
      <c r="E626" s="86"/>
      <c r="F626" s="11"/>
      <c r="G626" s="83"/>
      <c r="H626" s="94"/>
      <c r="K626" s="221"/>
    </row>
    <row r="627" spans="1:11" s="2" customFormat="1" x14ac:dyDescent="0.2">
      <c r="A627" s="13"/>
      <c r="B627" s="13"/>
      <c r="C627" s="12"/>
      <c r="D627" s="86"/>
      <c r="E627" s="86"/>
      <c r="F627" s="11"/>
      <c r="G627" s="83"/>
      <c r="H627" s="94"/>
      <c r="K627" s="221"/>
    </row>
    <row r="628" spans="1:11" s="2" customFormat="1" x14ac:dyDescent="0.2">
      <c r="A628" s="13"/>
      <c r="B628" s="13"/>
      <c r="C628" s="12"/>
      <c r="D628" s="86"/>
      <c r="E628" s="86"/>
      <c r="F628" s="11"/>
      <c r="G628" s="83"/>
      <c r="H628" s="94"/>
      <c r="K628" s="221"/>
    </row>
    <row r="629" spans="1:11" s="2" customFormat="1" x14ac:dyDescent="0.2">
      <c r="A629" s="13"/>
      <c r="B629" s="13"/>
      <c r="C629" s="12"/>
      <c r="D629" s="86"/>
      <c r="E629" s="86"/>
      <c r="F629" s="11"/>
      <c r="G629" s="83"/>
      <c r="H629" s="94"/>
      <c r="K629" s="221"/>
    </row>
    <row r="630" spans="1:11" s="2" customFormat="1" x14ac:dyDescent="0.2">
      <c r="A630" s="13"/>
      <c r="B630" s="13"/>
      <c r="C630" s="12"/>
      <c r="D630" s="86"/>
      <c r="E630" s="86"/>
      <c r="F630" s="11"/>
      <c r="G630" s="83"/>
      <c r="H630" s="94"/>
      <c r="K630" s="221"/>
    </row>
    <row r="631" spans="1:11" s="2" customFormat="1" x14ac:dyDescent="0.2">
      <c r="A631" s="13"/>
      <c r="B631" s="13"/>
      <c r="C631" s="12"/>
      <c r="D631" s="86"/>
      <c r="E631" s="86"/>
      <c r="F631" s="11"/>
      <c r="G631" s="83"/>
      <c r="H631" s="94"/>
      <c r="K631" s="221"/>
    </row>
    <row r="632" spans="1:11" s="2" customFormat="1" x14ac:dyDescent="0.2">
      <c r="A632" s="13"/>
      <c r="B632" s="13"/>
      <c r="C632" s="12"/>
      <c r="D632" s="86"/>
      <c r="E632" s="86"/>
      <c r="F632" s="11"/>
      <c r="G632" s="83"/>
      <c r="H632" s="94"/>
      <c r="K632" s="221"/>
    </row>
    <row r="633" spans="1:11" s="2" customFormat="1" x14ac:dyDescent="0.2">
      <c r="A633" s="13"/>
      <c r="B633" s="13"/>
      <c r="C633" s="12"/>
      <c r="D633" s="86"/>
      <c r="E633" s="86"/>
      <c r="F633" s="11"/>
      <c r="G633" s="83"/>
      <c r="H633" s="94"/>
      <c r="K633" s="221"/>
    </row>
    <row r="634" spans="1:11" s="2" customFormat="1" x14ac:dyDescent="0.2">
      <c r="A634" s="13"/>
      <c r="B634" s="13"/>
      <c r="C634" s="12"/>
      <c r="D634" s="86"/>
      <c r="E634" s="86"/>
      <c r="F634" s="11"/>
      <c r="G634" s="83"/>
      <c r="H634" s="94"/>
      <c r="K634" s="221"/>
    </row>
    <row r="635" spans="1:11" s="2" customFormat="1" x14ac:dyDescent="0.2">
      <c r="A635" s="13"/>
      <c r="B635" s="13"/>
      <c r="C635" s="12"/>
      <c r="D635" s="86"/>
      <c r="E635" s="86"/>
      <c r="F635" s="11"/>
      <c r="G635" s="83"/>
      <c r="H635" s="94"/>
      <c r="K635" s="221"/>
    </row>
    <row r="636" spans="1:11" s="2" customFormat="1" x14ac:dyDescent="0.2">
      <c r="A636" s="13"/>
      <c r="B636" s="13"/>
      <c r="C636" s="12"/>
      <c r="D636" s="86"/>
      <c r="E636" s="86"/>
      <c r="F636" s="11"/>
      <c r="G636" s="83"/>
      <c r="H636" s="94"/>
      <c r="K636" s="221"/>
    </row>
    <row r="637" spans="1:11" s="2" customFormat="1" x14ac:dyDescent="0.2">
      <c r="A637" s="13"/>
      <c r="B637" s="13"/>
      <c r="C637" s="12"/>
      <c r="D637" s="86"/>
      <c r="E637" s="86"/>
      <c r="F637" s="11"/>
      <c r="G637" s="83"/>
      <c r="H637" s="94"/>
      <c r="K637" s="221"/>
    </row>
    <row r="638" spans="1:11" s="2" customFormat="1" x14ac:dyDescent="0.2">
      <c r="A638" s="13"/>
      <c r="B638" s="13"/>
      <c r="C638" s="12"/>
      <c r="D638" s="86"/>
      <c r="E638" s="86"/>
      <c r="F638" s="11"/>
      <c r="G638" s="83"/>
      <c r="H638" s="94"/>
      <c r="K638" s="221"/>
    </row>
    <row r="639" spans="1:11" s="2" customFormat="1" x14ac:dyDescent="0.2">
      <c r="A639" s="13"/>
      <c r="B639" s="13"/>
      <c r="C639" s="12"/>
      <c r="D639" s="86"/>
      <c r="E639" s="86"/>
      <c r="F639" s="11"/>
      <c r="G639" s="83"/>
      <c r="H639" s="94"/>
      <c r="K639" s="221"/>
    </row>
    <row r="640" spans="1:11" s="2" customFormat="1" x14ac:dyDescent="0.2">
      <c r="A640" s="13"/>
      <c r="B640" s="13"/>
      <c r="C640" s="12"/>
      <c r="D640" s="86"/>
      <c r="E640" s="86"/>
      <c r="F640" s="11"/>
      <c r="G640" s="83"/>
      <c r="H640" s="94"/>
      <c r="K640" s="221"/>
    </row>
    <row r="641" spans="1:11" s="2" customFormat="1" x14ac:dyDescent="0.2">
      <c r="A641" s="13"/>
      <c r="B641" s="13"/>
      <c r="C641" s="12"/>
      <c r="D641" s="86"/>
      <c r="E641" s="86"/>
      <c r="F641" s="11"/>
      <c r="G641" s="83"/>
      <c r="H641" s="94"/>
      <c r="K641" s="221"/>
    </row>
    <row r="642" spans="1:11" s="2" customFormat="1" x14ac:dyDescent="0.2">
      <c r="A642" s="13"/>
      <c r="B642" s="13"/>
      <c r="C642" s="12"/>
      <c r="D642" s="86"/>
      <c r="E642" s="86"/>
      <c r="F642" s="11"/>
      <c r="G642" s="83"/>
      <c r="H642" s="94"/>
      <c r="K642" s="221"/>
    </row>
    <row r="643" spans="1:11" s="2" customFormat="1" x14ac:dyDescent="0.2">
      <c r="A643" s="13"/>
      <c r="B643" s="13"/>
      <c r="C643" s="12"/>
      <c r="D643" s="86"/>
      <c r="E643" s="86"/>
      <c r="F643" s="11"/>
      <c r="G643" s="83"/>
      <c r="H643" s="94"/>
      <c r="K643" s="221"/>
    </row>
    <row r="644" spans="1:11" s="2" customFormat="1" x14ac:dyDescent="0.2">
      <c r="A644" s="13"/>
      <c r="B644" s="13"/>
      <c r="C644" s="12"/>
      <c r="D644" s="86"/>
      <c r="E644" s="86"/>
      <c r="F644" s="11"/>
      <c r="G644" s="83"/>
      <c r="H644" s="94"/>
      <c r="K644" s="221"/>
    </row>
    <row r="645" spans="1:11" s="2" customFormat="1" x14ac:dyDescent="0.2">
      <c r="A645" s="13"/>
      <c r="B645" s="13"/>
      <c r="C645" s="12"/>
      <c r="D645" s="86"/>
      <c r="E645" s="86"/>
      <c r="F645" s="11"/>
      <c r="G645" s="83"/>
      <c r="H645" s="94"/>
      <c r="K645" s="221"/>
    </row>
    <row r="646" spans="1:11" s="2" customFormat="1" x14ac:dyDescent="0.2">
      <c r="A646" s="13"/>
      <c r="B646" s="13"/>
      <c r="C646" s="12"/>
      <c r="D646" s="86"/>
      <c r="E646" s="86"/>
      <c r="F646" s="11"/>
      <c r="G646" s="83"/>
      <c r="H646" s="94"/>
      <c r="K646" s="221"/>
    </row>
    <row r="647" spans="1:11" s="2" customFormat="1" x14ac:dyDescent="0.2">
      <c r="A647" s="13"/>
      <c r="B647" s="13"/>
      <c r="C647" s="12"/>
      <c r="D647" s="86"/>
      <c r="E647" s="86"/>
      <c r="F647" s="11"/>
      <c r="G647" s="83"/>
      <c r="H647" s="94"/>
      <c r="K647" s="221"/>
    </row>
    <row r="648" spans="1:11" s="2" customFormat="1" x14ac:dyDescent="0.2">
      <c r="A648" s="13"/>
      <c r="B648" s="13"/>
      <c r="C648" s="12"/>
      <c r="D648" s="86"/>
      <c r="E648" s="86"/>
      <c r="F648" s="11"/>
      <c r="G648" s="83"/>
      <c r="H648" s="94"/>
      <c r="K648" s="221"/>
    </row>
    <row r="649" spans="1:11" s="2" customFormat="1" x14ac:dyDescent="0.2">
      <c r="A649" s="13"/>
      <c r="B649" s="13"/>
      <c r="C649" s="12"/>
      <c r="D649" s="86"/>
      <c r="E649" s="86"/>
      <c r="F649" s="11"/>
      <c r="G649" s="83"/>
      <c r="H649" s="94"/>
      <c r="K649" s="221"/>
    </row>
    <row r="650" spans="1:11" s="2" customFormat="1" x14ac:dyDescent="0.2">
      <c r="A650" s="13"/>
      <c r="B650" s="13"/>
      <c r="C650" s="12"/>
      <c r="D650" s="86"/>
      <c r="E650" s="86"/>
      <c r="F650" s="11"/>
      <c r="G650" s="83"/>
      <c r="H650" s="94"/>
      <c r="K650" s="221"/>
    </row>
    <row r="651" spans="1:11" s="2" customFormat="1" x14ac:dyDescent="0.2">
      <c r="A651" s="13"/>
      <c r="B651" s="13"/>
      <c r="C651" s="12"/>
      <c r="D651" s="86"/>
      <c r="E651" s="86"/>
      <c r="F651" s="11"/>
      <c r="G651" s="83"/>
      <c r="H651" s="94"/>
      <c r="K651" s="221"/>
    </row>
    <row r="652" spans="1:11" s="2" customFormat="1" x14ac:dyDescent="0.2">
      <c r="A652" s="13"/>
      <c r="B652" s="13"/>
      <c r="C652" s="12"/>
      <c r="D652" s="86"/>
      <c r="E652" s="86"/>
      <c r="F652" s="11"/>
      <c r="G652" s="83"/>
      <c r="H652" s="94"/>
      <c r="K652" s="221"/>
    </row>
    <row r="653" spans="1:11" s="2" customFormat="1" x14ac:dyDescent="0.2">
      <c r="A653" s="13"/>
      <c r="B653" s="13"/>
      <c r="C653" s="12"/>
      <c r="D653" s="86"/>
      <c r="E653" s="86"/>
      <c r="F653" s="11"/>
      <c r="G653" s="83"/>
      <c r="H653" s="94"/>
      <c r="K653" s="221"/>
    </row>
    <row r="654" spans="1:11" s="2" customFormat="1" x14ac:dyDescent="0.2">
      <c r="A654" s="13"/>
      <c r="B654" s="13"/>
      <c r="C654" s="12"/>
      <c r="D654" s="86"/>
      <c r="E654" s="86"/>
      <c r="F654" s="11"/>
      <c r="G654" s="83"/>
      <c r="H654" s="94"/>
      <c r="K654" s="221"/>
    </row>
    <row r="655" spans="1:11" s="2" customFormat="1" x14ac:dyDescent="0.2">
      <c r="A655" s="13"/>
      <c r="B655" s="13"/>
      <c r="C655" s="12"/>
      <c r="D655" s="86"/>
      <c r="E655" s="86"/>
      <c r="F655" s="11"/>
      <c r="G655" s="83"/>
      <c r="H655" s="94"/>
      <c r="K655" s="221"/>
    </row>
    <row r="656" spans="1:11" s="2" customFormat="1" x14ac:dyDescent="0.2">
      <c r="A656" s="13"/>
      <c r="B656" s="13"/>
      <c r="C656" s="12"/>
      <c r="D656" s="86"/>
      <c r="E656" s="86"/>
      <c r="F656" s="11"/>
      <c r="G656" s="83"/>
      <c r="H656" s="94"/>
      <c r="K656" s="221"/>
    </row>
    <row r="657" spans="1:11" s="2" customFormat="1" x14ac:dyDescent="0.2">
      <c r="A657" s="13"/>
      <c r="B657" s="13"/>
      <c r="C657" s="12"/>
      <c r="D657" s="86"/>
      <c r="E657" s="86"/>
      <c r="F657" s="11"/>
      <c r="G657" s="83"/>
      <c r="H657" s="94"/>
      <c r="K657" s="221"/>
    </row>
    <row r="658" spans="1:11" s="2" customFormat="1" x14ac:dyDescent="0.2">
      <c r="A658" s="13"/>
      <c r="B658" s="13"/>
      <c r="C658" s="12"/>
      <c r="D658" s="86"/>
      <c r="E658" s="86"/>
      <c r="F658" s="11"/>
      <c r="G658" s="83"/>
      <c r="H658" s="94"/>
      <c r="K658" s="221"/>
    </row>
    <row r="659" spans="1:11" s="2" customFormat="1" x14ac:dyDescent="0.2">
      <c r="A659" s="13"/>
      <c r="B659" s="13"/>
      <c r="C659" s="12"/>
      <c r="D659" s="86"/>
      <c r="E659" s="86"/>
      <c r="F659" s="11"/>
      <c r="G659" s="83"/>
      <c r="H659" s="94"/>
      <c r="K659" s="221"/>
    </row>
    <row r="660" spans="1:11" s="2" customFormat="1" x14ac:dyDescent="0.2">
      <c r="A660" s="13"/>
      <c r="B660" s="13"/>
      <c r="C660" s="12"/>
      <c r="D660" s="86"/>
      <c r="E660" s="86"/>
      <c r="F660" s="11"/>
      <c r="G660" s="83"/>
      <c r="H660" s="94"/>
      <c r="K660" s="221"/>
    </row>
    <row r="661" spans="1:11" s="2" customFormat="1" x14ac:dyDescent="0.2">
      <c r="A661" s="13"/>
      <c r="B661" s="13"/>
      <c r="C661" s="12"/>
      <c r="D661" s="86"/>
      <c r="E661" s="86"/>
      <c r="F661" s="11"/>
      <c r="G661" s="83"/>
      <c r="H661" s="94"/>
      <c r="K661" s="221"/>
    </row>
    <row r="662" spans="1:11" s="2" customFormat="1" x14ac:dyDescent="0.2">
      <c r="A662" s="13"/>
      <c r="B662" s="13"/>
      <c r="C662" s="12"/>
      <c r="D662" s="86"/>
      <c r="E662" s="86"/>
      <c r="F662" s="11"/>
      <c r="G662" s="83"/>
      <c r="H662" s="94"/>
      <c r="K662" s="221"/>
    </row>
    <row r="663" spans="1:11" s="2" customFormat="1" x14ac:dyDescent="0.2">
      <c r="A663" s="13"/>
      <c r="B663" s="13"/>
      <c r="C663" s="12"/>
      <c r="D663" s="86"/>
      <c r="E663" s="86"/>
      <c r="F663" s="11"/>
      <c r="G663" s="83"/>
      <c r="H663" s="94"/>
      <c r="K663" s="221"/>
    </row>
    <row r="664" spans="1:11" s="2" customFormat="1" x14ac:dyDescent="0.2">
      <c r="A664" s="13"/>
      <c r="B664" s="13"/>
      <c r="C664" s="12"/>
      <c r="D664" s="86"/>
      <c r="E664" s="86"/>
      <c r="F664" s="11"/>
      <c r="G664" s="83"/>
      <c r="H664" s="94"/>
      <c r="K664" s="221"/>
    </row>
    <row r="665" spans="1:11" s="2" customFormat="1" x14ac:dyDescent="0.2">
      <c r="A665" s="13"/>
      <c r="B665" s="13"/>
      <c r="C665" s="12"/>
      <c r="D665" s="86"/>
      <c r="E665" s="86"/>
      <c r="F665" s="11"/>
      <c r="G665" s="83"/>
      <c r="H665" s="94"/>
      <c r="K665" s="221"/>
    </row>
    <row r="666" spans="1:11" s="2" customFormat="1" x14ac:dyDescent="0.2">
      <c r="A666" s="13"/>
      <c r="B666" s="13"/>
      <c r="C666" s="12"/>
      <c r="D666" s="86"/>
      <c r="E666" s="86"/>
      <c r="F666" s="11"/>
      <c r="G666" s="83"/>
      <c r="H666" s="94"/>
      <c r="K666" s="221"/>
    </row>
    <row r="667" spans="1:11" s="2" customFormat="1" x14ac:dyDescent="0.2">
      <c r="A667" s="13"/>
      <c r="B667" s="13"/>
      <c r="C667" s="12"/>
      <c r="D667" s="86"/>
      <c r="E667" s="86"/>
      <c r="F667" s="11"/>
      <c r="G667" s="83"/>
      <c r="H667" s="94"/>
      <c r="K667" s="221"/>
    </row>
    <row r="668" spans="1:11" s="2" customFormat="1" x14ac:dyDescent="0.2">
      <c r="A668" s="13"/>
      <c r="B668" s="13"/>
      <c r="C668" s="12"/>
      <c r="D668" s="86"/>
      <c r="E668" s="86"/>
      <c r="F668" s="11"/>
      <c r="G668" s="83"/>
      <c r="H668" s="94"/>
      <c r="K668" s="221"/>
    </row>
    <row r="669" spans="1:11" s="2" customFormat="1" x14ac:dyDescent="0.2">
      <c r="A669" s="13"/>
      <c r="B669" s="13"/>
      <c r="C669" s="12"/>
      <c r="D669" s="86"/>
      <c r="E669" s="86"/>
      <c r="F669" s="11"/>
      <c r="G669" s="83"/>
      <c r="H669" s="94"/>
      <c r="K669" s="221"/>
    </row>
    <row r="670" spans="1:11" s="2" customFormat="1" x14ac:dyDescent="0.2">
      <c r="A670" s="13"/>
      <c r="B670" s="13"/>
      <c r="C670" s="12"/>
      <c r="D670" s="86"/>
      <c r="E670" s="86"/>
      <c r="F670" s="11"/>
      <c r="G670" s="83"/>
      <c r="H670" s="94"/>
      <c r="K670" s="221"/>
    </row>
    <row r="671" spans="1:11" s="2" customFormat="1" x14ac:dyDescent="0.2">
      <c r="A671" s="13"/>
      <c r="B671" s="13"/>
      <c r="C671" s="12"/>
      <c r="D671" s="86"/>
      <c r="E671" s="86"/>
      <c r="F671" s="11"/>
      <c r="G671" s="83"/>
      <c r="H671" s="94"/>
      <c r="K671" s="221"/>
    </row>
    <row r="672" spans="1:11" s="2" customFormat="1" x14ac:dyDescent="0.2">
      <c r="A672" s="13"/>
      <c r="B672" s="13"/>
      <c r="C672" s="12"/>
      <c r="D672" s="86"/>
      <c r="E672" s="86"/>
      <c r="F672" s="11"/>
      <c r="G672" s="83"/>
      <c r="H672" s="94"/>
      <c r="K672" s="221"/>
    </row>
    <row r="673" spans="1:11" s="2" customFormat="1" x14ac:dyDescent="0.2">
      <c r="A673" s="13"/>
      <c r="B673" s="13"/>
      <c r="C673" s="12"/>
      <c r="D673" s="86"/>
      <c r="E673" s="86"/>
      <c r="F673" s="11"/>
      <c r="G673" s="83"/>
      <c r="H673" s="94"/>
      <c r="K673" s="221"/>
    </row>
    <row r="674" spans="1:11" s="2" customFormat="1" x14ac:dyDescent="0.2">
      <c r="A674" s="13"/>
      <c r="B674" s="13"/>
      <c r="C674" s="12"/>
      <c r="D674" s="86"/>
      <c r="E674" s="86"/>
      <c r="F674" s="11"/>
      <c r="G674" s="83"/>
      <c r="H674" s="94"/>
      <c r="K674" s="221"/>
    </row>
    <row r="675" spans="1:11" s="2" customFormat="1" x14ac:dyDescent="0.2">
      <c r="A675" s="13"/>
      <c r="B675" s="13"/>
      <c r="C675" s="12"/>
      <c r="D675" s="86"/>
      <c r="E675" s="86"/>
      <c r="F675" s="11"/>
      <c r="G675" s="83"/>
      <c r="H675" s="94"/>
      <c r="K675" s="221"/>
    </row>
    <row r="676" spans="1:11" s="2" customFormat="1" x14ac:dyDescent="0.2">
      <c r="A676" s="13"/>
      <c r="B676" s="13"/>
      <c r="C676" s="12"/>
      <c r="D676" s="86"/>
      <c r="E676" s="86"/>
      <c r="F676" s="11"/>
      <c r="G676" s="83"/>
      <c r="H676" s="94"/>
      <c r="K676" s="221"/>
    </row>
    <row r="677" spans="1:11" s="2" customFormat="1" x14ac:dyDescent="0.2">
      <c r="A677" s="13"/>
      <c r="B677" s="13"/>
      <c r="C677" s="12"/>
      <c r="D677" s="86"/>
      <c r="E677" s="86"/>
      <c r="F677" s="11"/>
      <c r="G677" s="83"/>
      <c r="H677" s="94"/>
      <c r="K677" s="221"/>
    </row>
    <row r="678" spans="1:11" s="2" customFormat="1" x14ac:dyDescent="0.2">
      <c r="A678" s="13"/>
      <c r="B678" s="13"/>
      <c r="C678" s="12"/>
      <c r="D678" s="86"/>
      <c r="E678" s="86"/>
      <c r="F678" s="11"/>
      <c r="G678" s="83"/>
      <c r="H678" s="94"/>
      <c r="K678" s="221"/>
    </row>
    <row r="679" spans="1:11" s="2" customFormat="1" x14ac:dyDescent="0.2">
      <c r="A679" s="13"/>
      <c r="B679" s="13"/>
      <c r="C679" s="12"/>
      <c r="D679" s="86"/>
      <c r="E679" s="86"/>
      <c r="F679" s="11"/>
      <c r="G679" s="83"/>
      <c r="H679" s="94"/>
      <c r="K679" s="221"/>
    </row>
    <row r="680" spans="1:11" s="2" customFormat="1" x14ac:dyDescent="0.2">
      <c r="A680" s="13"/>
      <c r="B680" s="13"/>
      <c r="C680" s="12"/>
      <c r="D680" s="86"/>
      <c r="E680" s="86"/>
      <c r="F680" s="11"/>
      <c r="G680" s="83"/>
      <c r="H680" s="94"/>
      <c r="K680" s="221"/>
    </row>
    <row r="681" spans="1:11" s="2" customFormat="1" x14ac:dyDescent="0.2">
      <c r="A681" s="13"/>
      <c r="B681" s="13"/>
      <c r="C681" s="12"/>
      <c r="D681" s="86"/>
      <c r="E681" s="86"/>
      <c r="F681" s="11"/>
      <c r="G681" s="83"/>
      <c r="H681" s="94"/>
      <c r="K681" s="221"/>
    </row>
    <row r="682" spans="1:11" s="2" customFormat="1" x14ac:dyDescent="0.2">
      <c r="A682" s="13"/>
      <c r="B682" s="13"/>
      <c r="C682" s="12"/>
      <c r="D682" s="86"/>
      <c r="E682" s="86"/>
      <c r="F682" s="11"/>
      <c r="G682" s="83"/>
      <c r="H682" s="94"/>
      <c r="K682" s="221"/>
    </row>
    <row r="683" spans="1:11" s="2" customFormat="1" x14ac:dyDescent="0.2">
      <c r="A683" s="13"/>
      <c r="B683" s="13"/>
      <c r="C683" s="12"/>
      <c r="D683" s="86"/>
      <c r="E683" s="86"/>
      <c r="F683" s="11"/>
      <c r="G683" s="83"/>
      <c r="H683" s="94"/>
      <c r="K683" s="221"/>
    </row>
    <row r="684" spans="1:11" s="2" customFormat="1" x14ac:dyDescent="0.2">
      <c r="A684" s="13"/>
      <c r="B684" s="13"/>
      <c r="C684" s="12"/>
      <c r="D684" s="86"/>
      <c r="E684" s="86"/>
      <c r="F684" s="11"/>
      <c r="G684" s="83"/>
      <c r="H684" s="94"/>
      <c r="K684" s="221"/>
    </row>
    <row r="685" spans="1:11" s="2" customFormat="1" x14ac:dyDescent="0.2">
      <c r="A685" s="13"/>
      <c r="B685" s="13"/>
      <c r="C685" s="12"/>
      <c r="D685" s="86"/>
      <c r="E685" s="86"/>
      <c r="F685" s="11"/>
      <c r="G685" s="83"/>
      <c r="H685" s="94"/>
      <c r="K685" s="221"/>
    </row>
    <row r="686" spans="1:11" s="2" customFormat="1" x14ac:dyDescent="0.2">
      <c r="A686" s="13"/>
      <c r="B686" s="13"/>
      <c r="C686" s="12"/>
      <c r="D686" s="86"/>
      <c r="E686" s="86"/>
      <c r="F686" s="11"/>
      <c r="G686" s="83"/>
      <c r="H686" s="94"/>
      <c r="K686" s="221"/>
    </row>
    <row r="687" spans="1:11" s="2" customFormat="1" x14ac:dyDescent="0.2">
      <c r="A687" s="13"/>
      <c r="B687" s="13"/>
      <c r="C687" s="12"/>
      <c r="D687" s="86"/>
      <c r="E687" s="86"/>
      <c r="F687" s="11"/>
      <c r="G687" s="83"/>
      <c r="H687" s="94"/>
      <c r="K687" s="221"/>
    </row>
    <row r="688" spans="1:11" s="2" customFormat="1" x14ac:dyDescent="0.2">
      <c r="A688" s="13"/>
      <c r="B688" s="13"/>
      <c r="C688" s="12"/>
      <c r="D688" s="86"/>
      <c r="E688" s="86"/>
      <c r="F688" s="11"/>
      <c r="G688" s="83"/>
      <c r="H688" s="94"/>
      <c r="K688" s="221"/>
    </row>
    <row r="689" spans="1:11" s="2" customFormat="1" x14ac:dyDescent="0.2">
      <c r="A689" s="13"/>
      <c r="B689" s="13"/>
      <c r="C689" s="12"/>
      <c r="D689" s="86"/>
      <c r="E689" s="86"/>
      <c r="F689" s="11"/>
      <c r="G689" s="83"/>
      <c r="H689" s="94"/>
      <c r="K689" s="221"/>
    </row>
    <row r="690" spans="1:11" s="2" customFormat="1" x14ac:dyDescent="0.2">
      <c r="A690" s="13"/>
      <c r="B690" s="13"/>
      <c r="C690" s="12"/>
      <c r="D690" s="86"/>
      <c r="E690" s="86"/>
      <c r="F690" s="11"/>
      <c r="G690" s="83"/>
      <c r="H690" s="94"/>
      <c r="K690" s="221"/>
    </row>
    <row r="691" spans="1:11" s="2" customFormat="1" x14ac:dyDescent="0.2">
      <c r="A691" s="13"/>
      <c r="B691" s="13"/>
      <c r="C691" s="12"/>
      <c r="D691" s="86"/>
      <c r="E691" s="86"/>
      <c r="F691" s="11"/>
      <c r="G691" s="83"/>
      <c r="H691" s="94"/>
      <c r="K691" s="221"/>
    </row>
    <row r="692" spans="1:11" s="2" customFormat="1" x14ac:dyDescent="0.2">
      <c r="A692" s="13"/>
      <c r="B692" s="13"/>
      <c r="C692" s="12"/>
      <c r="D692" s="86"/>
      <c r="E692" s="86"/>
      <c r="F692" s="11"/>
      <c r="G692" s="83"/>
      <c r="H692" s="94"/>
      <c r="K692" s="221"/>
    </row>
    <row r="693" spans="1:11" s="2" customFormat="1" x14ac:dyDescent="0.2">
      <c r="A693" s="13"/>
      <c r="B693" s="13"/>
      <c r="C693" s="12"/>
      <c r="D693" s="86"/>
      <c r="E693" s="86"/>
      <c r="F693" s="11"/>
      <c r="G693" s="83"/>
      <c r="H693" s="94"/>
      <c r="K693" s="221"/>
    </row>
    <row r="694" spans="1:11" s="2" customFormat="1" x14ac:dyDescent="0.2">
      <c r="A694" s="13"/>
      <c r="B694" s="13"/>
      <c r="C694" s="12"/>
      <c r="D694" s="86"/>
      <c r="E694" s="86"/>
      <c r="F694" s="11"/>
      <c r="G694" s="83"/>
      <c r="H694" s="94"/>
      <c r="K694" s="221"/>
    </row>
    <row r="695" spans="1:11" s="2" customFormat="1" x14ac:dyDescent="0.2">
      <c r="A695" s="13"/>
      <c r="B695" s="13"/>
      <c r="C695" s="12"/>
      <c r="D695" s="86"/>
      <c r="E695" s="86"/>
      <c r="F695" s="11"/>
      <c r="G695" s="83"/>
      <c r="H695" s="94"/>
      <c r="K695" s="221"/>
    </row>
    <row r="696" spans="1:11" s="2" customFormat="1" x14ac:dyDescent="0.2">
      <c r="A696" s="13"/>
      <c r="B696" s="13"/>
      <c r="C696" s="12"/>
      <c r="D696" s="86"/>
      <c r="E696" s="86"/>
      <c r="F696" s="11"/>
      <c r="G696" s="83"/>
      <c r="H696" s="94"/>
      <c r="K696" s="221"/>
    </row>
    <row r="697" spans="1:11" s="2" customFormat="1" x14ac:dyDescent="0.2">
      <c r="A697" s="13"/>
      <c r="B697" s="13"/>
      <c r="C697" s="12"/>
      <c r="D697" s="86"/>
      <c r="E697" s="86"/>
      <c r="F697" s="11"/>
      <c r="G697" s="83"/>
      <c r="H697" s="94"/>
      <c r="K697" s="221"/>
    </row>
    <row r="698" spans="1:11" s="2" customFormat="1" x14ac:dyDescent="0.2">
      <c r="A698" s="13"/>
      <c r="B698" s="13"/>
      <c r="C698" s="12"/>
      <c r="D698" s="86"/>
      <c r="E698" s="86"/>
      <c r="F698" s="11"/>
      <c r="G698" s="83"/>
      <c r="H698" s="94"/>
      <c r="K698" s="221"/>
    </row>
    <row r="699" spans="1:11" s="2" customFormat="1" x14ac:dyDescent="0.2">
      <c r="A699" s="13"/>
      <c r="B699" s="13"/>
      <c r="C699" s="12"/>
      <c r="D699" s="86"/>
      <c r="E699" s="86"/>
      <c r="F699" s="11"/>
      <c r="G699" s="83"/>
      <c r="H699" s="94"/>
      <c r="K699" s="221"/>
    </row>
    <row r="700" spans="1:11" s="2" customFormat="1" x14ac:dyDescent="0.2">
      <c r="A700" s="13"/>
      <c r="B700" s="13"/>
      <c r="C700" s="12"/>
      <c r="D700" s="86"/>
      <c r="E700" s="86"/>
      <c r="F700" s="11"/>
      <c r="G700" s="83"/>
      <c r="H700" s="94"/>
      <c r="K700" s="221"/>
    </row>
    <row r="701" spans="1:11" s="2" customFormat="1" x14ac:dyDescent="0.2">
      <c r="A701" s="13"/>
      <c r="B701" s="13"/>
      <c r="C701" s="12"/>
      <c r="D701" s="86"/>
      <c r="E701" s="86"/>
      <c r="F701" s="11"/>
      <c r="G701" s="83"/>
      <c r="H701" s="94"/>
      <c r="K701" s="221"/>
    </row>
    <row r="702" spans="1:11" s="2" customFormat="1" x14ac:dyDescent="0.2">
      <c r="A702" s="13"/>
      <c r="B702" s="13"/>
      <c r="C702" s="12"/>
      <c r="D702" s="86"/>
      <c r="E702" s="86"/>
      <c r="F702" s="11"/>
      <c r="G702" s="83"/>
      <c r="H702" s="94"/>
      <c r="K702" s="221"/>
    </row>
    <row r="703" spans="1:11" s="2" customFormat="1" x14ac:dyDescent="0.2">
      <c r="A703" s="13"/>
      <c r="B703" s="13"/>
      <c r="C703" s="12"/>
      <c r="D703" s="86"/>
      <c r="E703" s="86"/>
      <c r="F703" s="11"/>
      <c r="G703" s="83"/>
      <c r="H703" s="94"/>
      <c r="K703" s="221"/>
    </row>
    <row r="704" spans="1:11" s="2" customFormat="1" x14ac:dyDescent="0.2">
      <c r="A704" s="13"/>
      <c r="B704" s="13"/>
      <c r="C704" s="12"/>
      <c r="D704" s="86"/>
      <c r="E704" s="86"/>
      <c r="F704" s="11"/>
      <c r="G704" s="83"/>
      <c r="H704" s="94"/>
      <c r="K704" s="221"/>
    </row>
    <row r="705" spans="1:11" s="2" customFormat="1" x14ac:dyDescent="0.2">
      <c r="A705" s="13"/>
      <c r="B705" s="13"/>
      <c r="C705" s="12"/>
      <c r="D705" s="86"/>
      <c r="E705" s="86"/>
      <c r="F705" s="11"/>
      <c r="G705" s="83"/>
      <c r="H705" s="94"/>
      <c r="K705" s="221"/>
    </row>
    <row r="706" spans="1:11" s="2" customFormat="1" x14ac:dyDescent="0.2">
      <c r="A706" s="13"/>
      <c r="B706" s="13"/>
      <c r="C706" s="12"/>
      <c r="D706" s="86"/>
      <c r="E706" s="86"/>
      <c r="F706" s="11"/>
      <c r="G706" s="83"/>
      <c r="H706" s="94"/>
      <c r="K706" s="221"/>
    </row>
    <row r="707" spans="1:11" s="2" customFormat="1" x14ac:dyDescent="0.2">
      <c r="A707" s="13"/>
      <c r="B707" s="13"/>
      <c r="C707" s="12"/>
      <c r="D707" s="86"/>
      <c r="E707" s="86"/>
      <c r="F707" s="11"/>
      <c r="G707" s="83"/>
      <c r="H707" s="94"/>
      <c r="K707" s="221"/>
    </row>
    <row r="708" spans="1:11" s="2" customFormat="1" x14ac:dyDescent="0.2">
      <c r="A708" s="13"/>
      <c r="B708" s="13"/>
      <c r="C708" s="12"/>
      <c r="D708" s="86"/>
      <c r="E708" s="86"/>
      <c r="F708" s="11"/>
      <c r="G708" s="83"/>
      <c r="H708" s="94"/>
      <c r="K708" s="221"/>
    </row>
    <row r="709" spans="1:11" s="2" customFormat="1" x14ac:dyDescent="0.2">
      <c r="A709" s="13"/>
      <c r="B709" s="13"/>
      <c r="C709" s="12"/>
      <c r="D709" s="86"/>
      <c r="E709" s="86"/>
      <c r="F709" s="11"/>
      <c r="G709" s="83"/>
      <c r="H709" s="94"/>
      <c r="K709" s="221"/>
    </row>
    <row r="710" spans="1:11" s="2" customFormat="1" x14ac:dyDescent="0.2">
      <c r="A710" s="13"/>
      <c r="B710" s="13"/>
      <c r="C710" s="12"/>
      <c r="D710" s="86"/>
      <c r="E710" s="86"/>
      <c r="F710" s="11"/>
      <c r="G710" s="83"/>
      <c r="H710" s="94"/>
      <c r="K710" s="221"/>
    </row>
    <row r="711" spans="1:11" s="2" customFormat="1" x14ac:dyDescent="0.2">
      <c r="A711" s="13"/>
      <c r="B711" s="13"/>
      <c r="C711" s="12"/>
      <c r="D711" s="86"/>
      <c r="E711" s="86"/>
      <c r="F711" s="11"/>
      <c r="G711" s="83"/>
      <c r="H711" s="94"/>
      <c r="K711" s="221"/>
    </row>
    <row r="712" spans="1:11" s="2" customFormat="1" x14ac:dyDescent="0.2">
      <c r="A712" s="13"/>
      <c r="B712" s="13"/>
      <c r="C712" s="12"/>
      <c r="D712" s="86"/>
      <c r="E712" s="86"/>
      <c r="F712" s="11"/>
      <c r="G712" s="83"/>
      <c r="H712" s="94"/>
      <c r="K712" s="221"/>
    </row>
    <row r="713" spans="1:11" s="2" customFormat="1" x14ac:dyDescent="0.2">
      <c r="A713" s="13"/>
      <c r="B713" s="13"/>
      <c r="C713" s="12"/>
      <c r="D713" s="86"/>
      <c r="E713" s="86"/>
      <c r="F713" s="11"/>
      <c r="G713" s="83"/>
      <c r="H713" s="94"/>
      <c r="K713" s="221"/>
    </row>
    <row r="714" spans="1:11" s="2" customFormat="1" x14ac:dyDescent="0.2">
      <c r="A714" s="13"/>
      <c r="B714" s="13"/>
      <c r="C714" s="12"/>
      <c r="D714" s="86"/>
      <c r="E714" s="86"/>
      <c r="F714" s="11"/>
      <c r="G714" s="83"/>
      <c r="H714" s="94"/>
      <c r="K714" s="221"/>
    </row>
    <row r="715" spans="1:11" s="2" customFormat="1" x14ac:dyDescent="0.2">
      <c r="A715" s="13"/>
      <c r="B715" s="13"/>
      <c r="C715" s="12"/>
      <c r="D715" s="86"/>
      <c r="E715" s="86"/>
      <c r="F715" s="11"/>
      <c r="G715" s="83"/>
      <c r="H715" s="94"/>
      <c r="K715" s="221"/>
    </row>
    <row r="716" spans="1:11" s="2" customFormat="1" x14ac:dyDescent="0.2">
      <c r="A716" s="13"/>
      <c r="B716" s="13"/>
      <c r="C716" s="12"/>
      <c r="D716" s="86"/>
      <c r="E716" s="86"/>
      <c r="F716" s="11"/>
      <c r="G716" s="83"/>
      <c r="H716" s="94"/>
      <c r="K716" s="221"/>
    </row>
    <row r="717" spans="1:11" s="2" customFormat="1" x14ac:dyDescent="0.2">
      <c r="A717" s="13"/>
      <c r="B717" s="13"/>
      <c r="C717" s="12"/>
      <c r="D717" s="86"/>
      <c r="E717" s="86"/>
      <c r="F717" s="11"/>
      <c r="G717" s="83"/>
      <c r="H717" s="94"/>
      <c r="K717" s="221"/>
    </row>
    <row r="718" spans="1:11" s="2" customFormat="1" x14ac:dyDescent="0.2">
      <c r="A718" s="13"/>
      <c r="B718" s="13"/>
      <c r="C718" s="12"/>
      <c r="D718" s="86"/>
      <c r="E718" s="86"/>
      <c r="F718" s="11"/>
      <c r="G718" s="83"/>
      <c r="H718" s="94"/>
      <c r="K718" s="221"/>
    </row>
    <row r="719" spans="1:11" s="2" customFormat="1" x14ac:dyDescent="0.2">
      <c r="A719" s="13"/>
      <c r="B719" s="13"/>
      <c r="C719" s="12"/>
      <c r="D719" s="86"/>
      <c r="E719" s="86"/>
      <c r="F719" s="11"/>
      <c r="G719" s="83"/>
      <c r="H719" s="94"/>
      <c r="K719" s="221"/>
    </row>
    <row r="720" spans="1:11" s="2" customFormat="1" x14ac:dyDescent="0.2">
      <c r="A720" s="13"/>
      <c r="B720" s="13"/>
      <c r="C720" s="12"/>
      <c r="D720" s="86"/>
      <c r="E720" s="86"/>
      <c r="F720" s="11"/>
      <c r="G720" s="83"/>
      <c r="H720" s="94"/>
      <c r="K720" s="221"/>
    </row>
    <row r="721" spans="1:11" s="2" customFormat="1" x14ac:dyDescent="0.2">
      <c r="A721" s="13"/>
      <c r="B721" s="13"/>
      <c r="C721" s="12"/>
      <c r="D721" s="86"/>
      <c r="E721" s="86"/>
      <c r="F721" s="11"/>
      <c r="G721" s="83"/>
      <c r="H721" s="94"/>
      <c r="K721" s="221"/>
    </row>
    <row r="722" spans="1:11" s="2" customFormat="1" x14ac:dyDescent="0.2">
      <c r="A722" s="13"/>
      <c r="B722" s="13"/>
      <c r="C722" s="12"/>
      <c r="D722" s="86"/>
      <c r="E722" s="86"/>
      <c r="F722" s="11"/>
      <c r="G722" s="83"/>
      <c r="H722" s="94"/>
      <c r="K722" s="221"/>
    </row>
    <row r="723" spans="1:11" s="2" customFormat="1" x14ac:dyDescent="0.2">
      <c r="A723" s="13"/>
      <c r="B723" s="13"/>
      <c r="C723" s="12"/>
      <c r="D723" s="86"/>
      <c r="E723" s="86"/>
      <c r="F723" s="11"/>
      <c r="G723" s="83"/>
      <c r="H723" s="94"/>
      <c r="K723" s="221"/>
    </row>
    <row r="724" spans="1:11" s="2" customFormat="1" x14ac:dyDescent="0.2">
      <c r="A724" s="13"/>
      <c r="B724" s="13"/>
      <c r="C724" s="12"/>
      <c r="D724" s="86"/>
      <c r="E724" s="86"/>
      <c r="F724" s="11"/>
      <c r="G724" s="83"/>
      <c r="H724" s="94"/>
      <c r="K724" s="221"/>
    </row>
    <row r="725" spans="1:11" s="2" customFormat="1" x14ac:dyDescent="0.2">
      <c r="A725" s="13"/>
      <c r="B725" s="13"/>
      <c r="C725" s="12"/>
      <c r="D725" s="86"/>
      <c r="E725" s="86"/>
      <c r="F725" s="11"/>
      <c r="G725" s="83"/>
      <c r="H725" s="94"/>
      <c r="K725" s="221"/>
    </row>
    <row r="726" spans="1:11" s="2" customFormat="1" x14ac:dyDescent="0.2">
      <c r="A726" s="13"/>
      <c r="B726" s="13"/>
      <c r="C726" s="12"/>
      <c r="D726" s="86"/>
      <c r="E726" s="86"/>
      <c r="F726" s="11"/>
      <c r="G726" s="83"/>
      <c r="H726" s="94"/>
      <c r="K726" s="221"/>
    </row>
    <row r="727" spans="1:11" s="2" customFormat="1" x14ac:dyDescent="0.2">
      <c r="A727" s="13"/>
      <c r="B727" s="13"/>
      <c r="C727" s="12"/>
      <c r="D727" s="86"/>
      <c r="E727" s="86"/>
      <c r="F727" s="11"/>
      <c r="G727" s="83"/>
      <c r="H727" s="94"/>
      <c r="K727" s="221"/>
    </row>
    <row r="728" spans="1:11" s="2" customFormat="1" x14ac:dyDescent="0.2">
      <c r="A728" s="13"/>
      <c r="B728" s="13"/>
      <c r="C728" s="12"/>
      <c r="D728" s="86"/>
      <c r="E728" s="86"/>
      <c r="F728" s="11"/>
      <c r="G728" s="83"/>
      <c r="H728" s="94"/>
      <c r="K728" s="221"/>
    </row>
    <row r="729" spans="1:11" s="2" customFormat="1" x14ac:dyDescent="0.2">
      <c r="A729" s="13"/>
      <c r="B729" s="13"/>
      <c r="C729" s="12"/>
      <c r="D729" s="86"/>
      <c r="E729" s="86"/>
      <c r="F729" s="11"/>
      <c r="G729" s="83"/>
      <c r="H729" s="94"/>
      <c r="K729" s="221"/>
    </row>
    <row r="730" spans="1:11" s="2" customFormat="1" x14ac:dyDescent="0.2">
      <c r="A730" s="13"/>
      <c r="B730" s="13"/>
      <c r="C730" s="12"/>
      <c r="D730" s="86"/>
      <c r="E730" s="86"/>
      <c r="F730" s="11"/>
      <c r="G730" s="83"/>
      <c r="H730" s="94"/>
      <c r="K730" s="221"/>
    </row>
    <row r="731" spans="1:11" s="2" customFormat="1" x14ac:dyDescent="0.2">
      <c r="A731" s="13"/>
      <c r="B731" s="13"/>
      <c r="C731" s="12"/>
      <c r="D731" s="86"/>
      <c r="E731" s="86"/>
      <c r="F731" s="11"/>
      <c r="G731" s="83"/>
      <c r="H731" s="94"/>
      <c r="K731" s="221"/>
    </row>
    <row r="732" spans="1:11" s="2" customFormat="1" x14ac:dyDescent="0.2">
      <c r="A732" s="13"/>
      <c r="B732" s="13"/>
      <c r="C732" s="12"/>
      <c r="D732" s="86"/>
      <c r="E732" s="86"/>
      <c r="F732" s="11"/>
      <c r="G732" s="83"/>
      <c r="H732" s="94"/>
      <c r="K732" s="221"/>
    </row>
    <row r="733" spans="1:11" s="2" customFormat="1" x14ac:dyDescent="0.2">
      <c r="A733" s="13"/>
      <c r="B733" s="13"/>
      <c r="C733" s="12"/>
      <c r="D733" s="86"/>
      <c r="E733" s="86"/>
      <c r="F733" s="11"/>
      <c r="G733" s="83"/>
      <c r="H733" s="94"/>
      <c r="K733" s="221"/>
    </row>
    <row r="734" spans="1:11" s="2" customFormat="1" x14ac:dyDescent="0.2">
      <c r="A734" s="13"/>
      <c r="B734" s="13"/>
      <c r="C734" s="12"/>
      <c r="D734" s="86"/>
      <c r="E734" s="86"/>
      <c r="F734" s="11"/>
      <c r="G734" s="83"/>
      <c r="H734" s="94"/>
      <c r="K734" s="221"/>
    </row>
    <row r="735" spans="1:11" s="2" customFormat="1" x14ac:dyDescent="0.2">
      <c r="A735" s="13"/>
      <c r="B735" s="13"/>
      <c r="C735" s="12"/>
      <c r="D735" s="86"/>
      <c r="E735" s="86"/>
      <c r="F735" s="11"/>
      <c r="G735" s="83"/>
      <c r="H735" s="94"/>
      <c r="K735" s="221"/>
    </row>
    <row r="736" spans="1:11" s="2" customFormat="1" x14ac:dyDescent="0.2">
      <c r="A736" s="13"/>
      <c r="B736" s="13"/>
      <c r="C736" s="12"/>
      <c r="D736" s="86"/>
      <c r="E736" s="86"/>
      <c r="F736" s="11"/>
      <c r="G736" s="83"/>
      <c r="H736" s="94"/>
      <c r="K736" s="221"/>
    </row>
    <row r="737" spans="1:11" s="2" customFormat="1" x14ac:dyDescent="0.2">
      <c r="A737" s="13"/>
      <c r="B737" s="13"/>
      <c r="C737" s="12"/>
      <c r="D737" s="86"/>
      <c r="E737" s="86"/>
      <c r="F737" s="11"/>
      <c r="G737" s="83"/>
      <c r="H737" s="94"/>
      <c r="K737" s="221"/>
    </row>
    <row r="738" spans="1:11" s="2" customFormat="1" x14ac:dyDescent="0.2">
      <c r="A738" s="13"/>
      <c r="B738" s="13"/>
      <c r="C738" s="12"/>
      <c r="D738" s="86"/>
      <c r="E738" s="86"/>
      <c r="F738" s="11"/>
      <c r="G738" s="83"/>
      <c r="H738" s="94"/>
      <c r="K738" s="221"/>
    </row>
    <row r="739" spans="1:11" s="2" customFormat="1" x14ac:dyDescent="0.2">
      <c r="A739" s="13"/>
      <c r="B739" s="13"/>
      <c r="C739" s="12"/>
      <c r="D739" s="86"/>
      <c r="E739" s="86"/>
      <c r="F739" s="11"/>
      <c r="G739" s="83"/>
      <c r="H739" s="94"/>
      <c r="K739" s="221"/>
    </row>
    <row r="740" spans="1:11" s="2" customFormat="1" x14ac:dyDescent="0.2">
      <c r="A740" s="13"/>
      <c r="B740" s="13"/>
      <c r="C740" s="12"/>
      <c r="D740" s="86"/>
      <c r="E740" s="86"/>
      <c r="F740" s="11"/>
      <c r="G740" s="83"/>
      <c r="H740" s="94"/>
      <c r="K740" s="221"/>
    </row>
    <row r="741" spans="1:11" s="2" customFormat="1" x14ac:dyDescent="0.2">
      <c r="A741" s="13"/>
      <c r="B741" s="13"/>
      <c r="C741" s="12"/>
      <c r="D741" s="86"/>
      <c r="E741" s="86"/>
      <c r="F741" s="11"/>
      <c r="G741" s="83"/>
      <c r="H741" s="94"/>
      <c r="K741" s="221"/>
    </row>
    <row r="742" spans="1:11" s="2" customFormat="1" x14ac:dyDescent="0.2">
      <c r="A742" s="13"/>
      <c r="B742" s="13"/>
      <c r="C742" s="12"/>
      <c r="D742" s="86"/>
      <c r="E742" s="86"/>
      <c r="F742" s="11"/>
      <c r="G742" s="83"/>
      <c r="H742" s="94"/>
      <c r="K742" s="221"/>
    </row>
    <row r="743" spans="1:11" s="2" customFormat="1" x14ac:dyDescent="0.2">
      <c r="A743" s="13"/>
      <c r="B743" s="13"/>
      <c r="C743" s="12"/>
      <c r="D743" s="86"/>
      <c r="E743" s="86"/>
      <c r="F743" s="11"/>
      <c r="G743" s="83"/>
      <c r="H743" s="94"/>
      <c r="K743" s="221"/>
    </row>
    <row r="744" spans="1:11" s="2" customFormat="1" x14ac:dyDescent="0.2">
      <c r="A744" s="13"/>
      <c r="B744" s="13"/>
      <c r="C744" s="12"/>
      <c r="D744" s="86"/>
      <c r="E744" s="86"/>
      <c r="F744" s="11"/>
      <c r="G744" s="83"/>
      <c r="H744" s="94"/>
      <c r="K744" s="221"/>
    </row>
    <row r="745" spans="1:11" s="2" customFormat="1" x14ac:dyDescent="0.2">
      <c r="A745" s="13"/>
      <c r="B745" s="13"/>
      <c r="C745" s="12"/>
      <c r="D745" s="86"/>
      <c r="E745" s="86"/>
      <c r="F745" s="11"/>
      <c r="G745" s="83"/>
      <c r="H745" s="94"/>
      <c r="K745" s="221"/>
    </row>
    <row r="746" spans="1:11" s="2" customFormat="1" x14ac:dyDescent="0.2">
      <c r="A746" s="13"/>
      <c r="B746" s="13"/>
      <c r="C746" s="12"/>
      <c r="D746" s="86"/>
      <c r="E746" s="86"/>
      <c r="F746" s="11"/>
      <c r="G746" s="83"/>
      <c r="H746" s="94"/>
      <c r="K746" s="221"/>
    </row>
    <row r="747" spans="1:11" s="2" customFormat="1" x14ac:dyDescent="0.2">
      <c r="A747" s="13"/>
      <c r="B747" s="13"/>
      <c r="C747" s="12"/>
      <c r="D747" s="86"/>
      <c r="E747" s="86"/>
      <c r="F747" s="11"/>
      <c r="G747" s="83"/>
      <c r="H747" s="94"/>
      <c r="K747" s="221"/>
    </row>
    <row r="748" spans="1:11" s="2" customFormat="1" x14ac:dyDescent="0.2">
      <c r="A748" s="13"/>
      <c r="B748" s="13"/>
      <c r="C748" s="12"/>
      <c r="D748" s="86"/>
      <c r="E748" s="86"/>
      <c r="F748" s="11"/>
      <c r="G748" s="83"/>
      <c r="H748" s="94"/>
      <c r="K748" s="221"/>
    </row>
    <row r="749" spans="1:11" s="2" customFormat="1" x14ac:dyDescent="0.2">
      <c r="A749" s="13"/>
      <c r="B749" s="13"/>
      <c r="C749" s="12"/>
      <c r="D749" s="86"/>
      <c r="E749" s="86"/>
      <c r="F749" s="11"/>
      <c r="G749" s="83"/>
      <c r="H749" s="94"/>
      <c r="K749" s="221"/>
    </row>
    <row r="750" spans="1:11" s="2" customFormat="1" x14ac:dyDescent="0.2">
      <c r="A750" s="13"/>
      <c r="B750" s="13"/>
      <c r="C750" s="12"/>
      <c r="D750" s="86"/>
      <c r="E750" s="86"/>
      <c r="F750" s="11"/>
      <c r="G750" s="83"/>
      <c r="H750" s="94"/>
      <c r="K750" s="221"/>
    </row>
    <row r="751" spans="1:11" s="2" customFormat="1" x14ac:dyDescent="0.2">
      <c r="A751" s="13"/>
      <c r="B751" s="13"/>
      <c r="C751" s="12"/>
      <c r="D751" s="86"/>
      <c r="E751" s="86"/>
      <c r="F751" s="11"/>
      <c r="G751" s="83"/>
      <c r="H751" s="94"/>
      <c r="K751" s="221"/>
    </row>
    <row r="752" spans="1:11" s="2" customFormat="1" x14ac:dyDescent="0.2">
      <c r="A752" s="13"/>
      <c r="B752" s="13"/>
      <c r="C752" s="12"/>
      <c r="D752" s="86"/>
      <c r="E752" s="86"/>
      <c r="F752" s="11"/>
      <c r="G752" s="83"/>
      <c r="H752" s="94"/>
      <c r="K752" s="221"/>
    </row>
    <row r="753" spans="1:11" s="2" customFormat="1" x14ac:dyDescent="0.2">
      <c r="A753" s="13"/>
      <c r="B753" s="13"/>
      <c r="C753" s="12"/>
      <c r="D753" s="86"/>
      <c r="E753" s="86"/>
      <c r="F753" s="11"/>
      <c r="G753" s="83"/>
      <c r="H753" s="94"/>
      <c r="K753" s="221"/>
    </row>
    <row r="754" spans="1:11" s="2" customFormat="1" x14ac:dyDescent="0.2">
      <c r="A754" s="13"/>
      <c r="B754" s="13"/>
      <c r="C754" s="12"/>
      <c r="D754" s="86"/>
      <c r="E754" s="86"/>
      <c r="F754" s="11"/>
      <c r="G754" s="83"/>
      <c r="H754" s="94"/>
      <c r="K754" s="221"/>
    </row>
    <row r="755" spans="1:11" s="2" customFormat="1" x14ac:dyDescent="0.2">
      <c r="A755" s="13"/>
      <c r="B755" s="13"/>
      <c r="C755" s="12"/>
      <c r="D755" s="86"/>
      <c r="E755" s="86"/>
      <c r="F755" s="11"/>
      <c r="G755" s="83"/>
      <c r="H755" s="94"/>
      <c r="K755" s="221"/>
    </row>
    <row r="756" spans="1:11" s="2" customFormat="1" x14ac:dyDescent="0.2">
      <c r="A756" s="13"/>
      <c r="B756" s="13"/>
      <c r="C756" s="12"/>
      <c r="D756" s="86"/>
      <c r="E756" s="86"/>
      <c r="F756" s="11"/>
      <c r="G756" s="83"/>
      <c r="H756" s="94"/>
      <c r="K756" s="221"/>
    </row>
    <row r="757" spans="1:11" s="2" customFormat="1" x14ac:dyDescent="0.2">
      <c r="A757" s="13"/>
      <c r="B757" s="13"/>
      <c r="C757" s="12"/>
      <c r="D757" s="86"/>
      <c r="E757" s="86"/>
      <c r="F757" s="11"/>
      <c r="G757" s="83"/>
      <c r="H757" s="94"/>
      <c r="K757" s="221"/>
    </row>
    <row r="758" spans="1:11" s="2" customFormat="1" x14ac:dyDescent="0.2">
      <c r="A758" s="13"/>
      <c r="B758" s="13"/>
      <c r="C758" s="12"/>
      <c r="D758" s="86"/>
      <c r="E758" s="86"/>
      <c r="F758" s="11"/>
      <c r="G758" s="83"/>
      <c r="H758" s="94"/>
      <c r="K758" s="221"/>
    </row>
    <row r="759" spans="1:11" s="2" customFormat="1" x14ac:dyDescent="0.2">
      <c r="A759" s="13"/>
      <c r="B759" s="13"/>
      <c r="C759" s="12"/>
      <c r="D759" s="86"/>
      <c r="E759" s="86"/>
      <c r="F759" s="11"/>
      <c r="G759" s="83"/>
      <c r="H759" s="94"/>
      <c r="K759" s="221"/>
    </row>
    <row r="760" spans="1:11" s="2" customFormat="1" x14ac:dyDescent="0.2">
      <c r="A760" s="13"/>
      <c r="B760" s="13"/>
      <c r="C760" s="12"/>
      <c r="D760" s="86"/>
      <c r="E760" s="86"/>
      <c r="F760" s="11"/>
      <c r="G760" s="83"/>
      <c r="H760" s="94"/>
      <c r="K760" s="221"/>
    </row>
    <row r="761" spans="1:11" s="2" customFormat="1" x14ac:dyDescent="0.2">
      <c r="A761" s="13"/>
      <c r="B761" s="13"/>
      <c r="C761" s="12"/>
      <c r="D761" s="86"/>
      <c r="E761" s="86"/>
      <c r="F761" s="11"/>
      <c r="G761" s="83"/>
      <c r="H761" s="94"/>
      <c r="K761" s="221"/>
    </row>
    <row r="762" spans="1:11" s="2" customFormat="1" x14ac:dyDescent="0.2">
      <c r="A762" s="13"/>
      <c r="B762" s="13"/>
      <c r="C762" s="12"/>
      <c r="D762" s="86"/>
      <c r="E762" s="86"/>
      <c r="F762" s="11"/>
      <c r="G762" s="83"/>
      <c r="H762" s="94"/>
      <c r="K762" s="221"/>
    </row>
    <row r="763" spans="1:11" s="2" customFormat="1" x14ac:dyDescent="0.2">
      <c r="A763" s="13"/>
      <c r="B763" s="13"/>
      <c r="C763" s="12"/>
      <c r="D763" s="86"/>
      <c r="E763" s="86"/>
      <c r="F763" s="11"/>
      <c r="G763" s="83"/>
      <c r="H763" s="94"/>
      <c r="K763" s="221"/>
    </row>
    <row r="764" spans="1:11" s="2" customFormat="1" x14ac:dyDescent="0.2">
      <c r="A764" s="13"/>
      <c r="B764" s="13"/>
      <c r="C764" s="12"/>
      <c r="D764" s="86"/>
      <c r="E764" s="86"/>
      <c r="F764" s="11"/>
      <c r="G764" s="83"/>
      <c r="H764" s="94"/>
      <c r="K764" s="221"/>
    </row>
    <row r="765" spans="1:11" s="2" customFormat="1" x14ac:dyDescent="0.2">
      <c r="A765" s="13"/>
      <c r="B765" s="13"/>
      <c r="C765" s="12"/>
      <c r="D765" s="86"/>
      <c r="E765" s="86"/>
      <c r="F765" s="11"/>
      <c r="G765" s="83"/>
      <c r="H765" s="94"/>
      <c r="K765" s="221"/>
    </row>
    <row r="766" spans="1:11" s="2" customFormat="1" x14ac:dyDescent="0.2">
      <c r="A766" s="13"/>
      <c r="B766" s="13"/>
      <c r="C766" s="12"/>
      <c r="D766" s="86"/>
      <c r="E766" s="86"/>
      <c r="F766" s="11"/>
      <c r="G766" s="83"/>
      <c r="H766" s="94"/>
      <c r="K766" s="221"/>
    </row>
    <row r="767" spans="1:11" s="2" customFormat="1" x14ac:dyDescent="0.2">
      <c r="A767" s="13"/>
      <c r="B767" s="13"/>
      <c r="C767" s="12"/>
      <c r="D767" s="86"/>
      <c r="E767" s="86"/>
      <c r="F767" s="11"/>
      <c r="G767" s="83"/>
      <c r="H767" s="94"/>
      <c r="K767" s="221"/>
    </row>
    <row r="768" spans="1:11" s="2" customFormat="1" x14ac:dyDescent="0.2">
      <c r="A768" s="13"/>
      <c r="B768" s="13"/>
      <c r="C768" s="12"/>
      <c r="D768" s="86"/>
      <c r="E768" s="86"/>
      <c r="F768" s="11"/>
      <c r="G768" s="83"/>
      <c r="H768" s="94"/>
      <c r="K768" s="221"/>
    </row>
    <row r="769" spans="1:11" s="2" customFormat="1" x14ac:dyDescent="0.2">
      <c r="A769" s="13"/>
      <c r="B769" s="13"/>
      <c r="C769" s="12"/>
      <c r="D769" s="86"/>
      <c r="E769" s="86"/>
      <c r="F769" s="11"/>
      <c r="G769" s="83"/>
      <c r="H769" s="94"/>
      <c r="K769" s="221"/>
    </row>
    <row r="770" spans="1:11" s="2" customFormat="1" x14ac:dyDescent="0.2">
      <c r="A770" s="13"/>
      <c r="B770" s="13"/>
      <c r="C770" s="12"/>
      <c r="D770" s="86"/>
      <c r="E770" s="86"/>
      <c r="F770" s="11"/>
      <c r="G770" s="83"/>
      <c r="H770" s="94"/>
      <c r="K770" s="221"/>
    </row>
    <row r="771" spans="1:11" s="2" customFormat="1" x14ac:dyDescent="0.2">
      <c r="A771" s="13"/>
      <c r="B771" s="13"/>
      <c r="C771" s="12"/>
      <c r="D771" s="86"/>
      <c r="E771" s="86"/>
      <c r="F771" s="11"/>
      <c r="G771" s="83"/>
      <c r="H771" s="94"/>
      <c r="K771" s="221"/>
    </row>
    <row r="772" spans="1:11" s="2" customFormat="1" x14ac:dyDescent="0.2">
      <c r="A772" s="13"/>
      <c r="B772" s="13"/>
      <c r="C772" s="12"/>
      <c r="D772" s="86"/>
      <c r="E772" s="86"/>
      <c r="F772" s="11"/>
      <c r="G772" s="83"/>
      <c r="H772" s="94"/>
      <c r="K772" s="221"/>
    </row>
    <row r="773" spans="1:11" s="2" customFormat="1" x14ac:dyDescent="0.2">
      <c r="A773" s="13"/>
      <c r="B773" s="13"/>
      <c r="C773" s="12"/>
      <c r="D773" s="86"/>
      <c r="E773" s="86"/>
      <c r="F773" s="11"/>
      <c r="G773" s="83"/>
      <c r="H773" s="94"/>
      <c r="K773" s="221"/>
    </row>
    <row r="774" spans="1:11" s="2" customFormat="1" x14ac:dyDescent="0.2">
      <c r="A774" s="13"/>
      <c r="B774" s="13"/>
      <c r="C774" s="12"/>
      <c r="D774" s="86"/>
      <c r="E774" s="86"/>
      <c r="F774" s="11"/>
      <c r="G774" s="83"/>
      <c r="H774" s="94"/>
      <c r="K774" s="221"/>
    </row>
    <row r="775" spans="1:11" s="2" customFormat="1" x14ac:dyDescent="0.2">
      <c r="A775" s="13"/>
      <c r="B775" s="13"/>
      <c r="C775" s="12"/>
      <c r="D775" s="86"/>
      <c r="E775" s="86"/>
      <c r="F775" s="11"/>
      <c r="G775" s="83"/>
      <c r="H775" s="94"/>
      <c r="K775" s="221"/>
    </row>
    <row r="776" spans="1:11" s="2" customFormat="1" x14ac:dyDescent="0.2">
      <c r="A776" s="13"/>
      <c r="B776" s="13"/>
      <c r="C776" s="12"/>
      <c r="D776" s="86"/>
      <c r="E776" s="86"/>
      <c r="F776" s="11"/>
      <c r="G776" s="83"/>
      <c r="H776" s="94"/>
      <c r="K776" s="221"/>
    </row>
    <row r="777" spans="1:11" s="2" customFormat="1" x14ac:dyDescent="0.2">
      <c r="A777" s="13"/>
      <c r="B777" s="13"/>
      <c r="C777" s="12"/>
      <c r="D777" s="86"/>
      <c r="E777" s="86"/>
      <c r="F777" s="11"/>
      <c r="G777" s="83"/>
      <c r="H777" s="94"/>
      <c r="K777" s="221"/>
    </row>
    <row r="778" spans="1:11" s="2" customFormat="1" x14ac:dyDescent="0.2">
      <c r="A778" s="13"/>
      <c r="B778" s="13"/>
      <c r="C778" s="12"/>
      <c r="D778" s="86"/>
      <c r="E778" s="86"/>
      <c r="F778" s="11"/>
      <c r="G778" s="83"/>
      <c r="H778" s="94"/>
      <c r="K778" s="221"/>
    </row>
    <row r="779" spans="1:11" s="2" customFormat="1" x14ac:dyDescent="0.2">
      <c r="A779" s="13"/>
      <c r="B779" s="13"/>
      <c r="C779" s="12"/>
      <c r="D779" s="86"/>
      <c r="E779" s="86"/>
      <c r="F779" s="11"/>
      <c r="G779" s="83"/>
      <c r="H779" s="94"/>
      <c r="K779" s="221"/>
    </row>
    <row r="780" spans="1:11" s="2" customFormat="1" x14ac:dyDescent="0.2">
      <c r="A780" s="13"/>
      <c r="B780" s="13"/>
      <c r="C780" s="12"/>
      <c r="D780" s="86"/>
      <c r="E780" s="86"/>
      <c r="F780" s="11"/>
      <c r="G780" s="83"/>
      <c r="H780" s="94"/>
      <c r="K780" s="221"/>
    </row>
    <row r="781" spans="1:11" s="2" customFormat="1" x14ac:dyDescent="0.2">
      <c r="A781" s="13"/>
      <c r="B781" s="13"/>
      <c r="C781" s="12"/>
      <c r="D781" s="86"/>
      <c r="E781" s="86"/>
      <c r="F781" s="11"/>
      <c r="G781" s="83"/>
      <c r="H781" s="94"/>
      <c r="K781" s="221"/>
    </row>
    <row r="782" spans="1:11" s="2" customFormat="1" x14ac:dyDescent="0.2">
      <c r="A782" s="13"/>
      <c r="B782" s="13"/>
      <c r="C782" s="12"/>
      <c r="D782" s="86"/>
      <c r="E782" s="86"/>
      <c r="F782" s="11"/>
      <c r="G782" s="83"/>
      <c r="H782" s="94"/>
      <c r="K782" s="221"/>
    </row>
    <row r="783" spans="1:11" s="2" customFormat="1" x14ac:dyDescent="0.2">
      <c r="A783" s="13"/>
      <c r="B783" s="13"/>
      <c r="C783" s="12"/>
      <c r="D783" s="86"/>
      <c r="E783" s="86"/>
      <c r="F783" s="11"/>
      <c r="G783" s="83"/>
      <c r="H783" s="94"/>
      <c r="K783" s="221"/>
    </row>
    <row r="784" spans="1:11" s="2" customFormat="1" x14ac:dyDescent="0.2">
      <c r="A784" s="13"/>
      <c r="B784" s="13"/>
      <c r="C784" s="12"/>
      <c r="D784" s="86"/>
      <c r="E784" s="86"/>
      <c r="F784" s="11"/>
      <c r="G784" s="83"/>
      <c r="H784" s="94"/>
      <c r="K784" s="221"/>
    </row>
    <row r="785" spans="1:11" s="2" customFormat="1" x14ac:dyDescent="0.2">
      <c r="A785" s="13"/>
      <c r="B785" s="13"/>
      <c r="C785" s="12"/>
      <c r="D785" s="86"/>
      <c r="E785" s="86"/>
      <c r="F785" s="11"/>
      <c r="G785" s="83"/>
      <c r="H785" s="94"/>
      <c r="K785" s="221"/>
    </row>
    <row r="786" spans="1:11" s="2" customFormat="1" x14ac:dyDescent="0.2">
      <c r="A786" s="13"/>
      <c r="B786" s="13"/>
      <c r="C786" s="12"/>
      <c r="D786" s="86"/>
      <c r="E786" s="86"/>
      <c r="F786" s="11"/>
      <c r="G786" s="83"/>
      <c r="H786" s="94"/>
      <c r="K786" s="221"/>
    </row>
    <row r="787" spans="1:11" s="2" customFormat="1" x14ac:dyDescent="0.2">
      <c r="A787" s="13"/>
      <c r="B787" s="13"/>
      <c r="C787" s="12"/>
      <c r="D787" s="86"/>
      <c r="E787" s="86"/>
      <c r="F787" s="11"/>
      <c r="G787" s="83"/>
      <c r="H787" s="94"/>
      <c r="K787" s="221"/>
    </row>
    <row r="788" spans="1:11" s="2" customFormat="1" x14ac:dyDescent="0.2">
      <c r="A788" s="13"/>
      <c r="B788" s="13"/>
      <c r="C788" s="12"/>
      <c r="D788" s="86"/>
      <c r="E788" s="86"/>
      <c r="F788" s="11"/>
      <c r="G788" s="83"/>
      <c r="H788" s="94"/>
      <c r="K788" s="221"/>
    </row>
    <row r="789" spans="1:11" s="2" customFormat="1" x14ac:dyDescent="0.2">
      <c r="A789" s="13"/>
      <c r="B789" s="13"/>
      <c r="C789" s="12"/>
      <c r="D789" s="86"/>
      <c r="E789" s="86"/>
      <c r="F789" s="11"/>
      <c r="G789" s="83"/>
      <c r="H789" s="94"/>
      <c r="K789" s="221"/>
    </row>
    <row r="790" spans="1:11" s="2" customFormat="1" x14ac:dyDescent="0.2">
      <c r="A790" s="13"/>
      <c r="B790" s="13"/>
      <c r="C790" s="12"/>
      <c r="D790" s="86"/>
      <c r="E790" s="86"/>
      <c r="F790" s="11"/>
      <c r="G790" s="83"/>
      <c r="H790" s="94"/>
      <c r="K790" s="221"/>
    </row>
    <row r="791" spans="1:11" s="2" customFormat="1" x14ac:dyDescent="0.2">
      <c r="A791" s="13"/>
      <c r="B791" s="13"/>
      <c r="C791" s="12"/>
      <c r="D791" s="86"/>
      <c r="E791" s="86"/>
      <c r="F791" s="11"/>
      <c r="G791" s="83"/>
      <c r="H791" s="94"/>
      <c r="K791" s="221"/>
    </row>
    <row r="792" spans="1:11" s="2" customFormat="1" x14ac:dyDescent="0.2">
      <c r="A792" s="13"/>
      <c r="B792" s="13"/>
      <c r="C792" s="12"/>
      <c r="D792" s="86"/>
      <c r="E792" s="86"/>
      <c r="F792" s="11"/>
      <c r="G792" s="83"/>
      <c r="H792" s="94"/>
      <c r="K792" s="221"/>
    </row>
    <row r="793" spans="1:11" s="2" customFormat="1" x14ac:dyDescent="0.2">
      <c r="A793" s="13"/>
      <c r="B793" s="13"/>
      <c r="C793" s="12"/>
      <c r="D793" s="86"/>
      <c r="E793" s="86"/>
      <c r="F793" s="11"/>
      <c r="G793" s="83"/>
      <c r="H793" s="94"/>
      <c r="K793" s="221"/>
    </row>
    <row r="794" spans="1:11" s="2" customFormat="1" x14ac:dyDescent="0.2">
      <c r="A794" s="13"/>
      <c r="B794" s="13"/>
      <c r="C794" s="12"/>
      <c r="D794" s="86"/>
      <c r="E794" s="86"/>
      <c r="F794" s="11"/>
      <c r="G794" s="83"/>
      <c r="H794" s="94"/>
      <c r="K794" s="221"/>
    </row>
    <row r="795" spans="1:11" s="2" customFormat="1" x14ac:dyDescent="0.2">
      <c r="A795" s="13"/>
      <c r="B795" s="13"/>
      <c r="C795" s="12"/>
      <c r="D795" s="86"/>
      <c r="E795" s="86"/>
      <c r="F795" s="11"/>
      <c r="G795" s="83"/>
      <c r="H795" s="94"/>
      <c r="K795" s="221"/>
    </row>
    <row r="796" spans="1:11" s="2" customFormat="1" x14ac:dyDescent="0.2">
      <c r="A796" s="13"/>
      <c r="B796" s="13"/>
      <c r="C796" s="12"/>
      <c r="D796" s="86"/>
      <c r="E796" s="86"/>
      <c r="F796" s="11"/>
      <c r="G796" s="83"/>
      <c r="H796" s="94"/>
      <c r="K796" s="221"/>
    </row>
    <row r="797" spans="1:11" s="2" customFormat="1" x14ac:dyDescent="0.2">
      <c r="A797" s="13"/>
      <c r="B797" s="13"/>
      <c r="C797" s="12"/>
      <c r="D797" s="86"/>
      <c r="E797" s="86"/>
      <c r="F797" s="11"/>
      <c r="G797" s="83"/>
      <c r="H797" s="94"/>
      <c r="K797" s="221"/>
    </row>
    <row r="798" spans="1:11" s="2" customFormat="1" x14ac:dyDescent="0.2">
      <c r="A798" s="13"/>
      <c r="B798" s="13"/>
      <c r="C798" s="12"/>
      <c r="D798" s="86"/>
      <c r="E798" s="86"/>
      <c r="F798" s="11"/>
      <c r="G798" s="83"/>
      <c r="H798" s="94"/>
      <c r="K798" s="221"/>
    </row>
    <row r="799" spans="1:11" s="2" customFormat="1" x14ac:dyDescent="0.2">
      <c r="A799" s="13"/>
      <c r="B799" s="13"/>
      <c r="C799" s="12"/>
      <c r="D799" s="86"/>
      <c r="E799" s="86"/>
      <c r="F799" s="11"/>
      <c r="G799" s="83"/>
      <c r="H799" s="94"/>
      <c r="K799" s="221"/>
    </row>
    <row r="800" spans="1:11" s="2" customFormat="1" x14ac:dyDescent="0.2">
      <c r="A800" s="13"/>
      <c r="B800" s="13"/>
      <c r="C800" s="12"/>
      <c r="D800" s="86"/>
      <c r="E800" s="86"/>
      <c r="F800" s="11"/>
      <c r="G800" s="83"/>
      <c r="H800" s="94"/>
      <c r="K800" s="221"/>
    </row>
    <row r="801" spans="1:11" s="2" customFormat="1" x14ac:dyDescent="0.2">
      <c r="A801" s="13"/>
      <c r="B801" s="13"/>
      <c r="C801" s="12"/>
      <c r="D801" s="86"/>
      <c r="E801" s="86"/>
      <c r="F801" s="11"/>
      <c r="G801" s="83"/>
      <c r="H801" s="94"/>
      <c r="K801" s="221"/>
    </row>
    <row r="802" spans="1:11" s="2" customFormat="1" x14ac:dyDescent="0.2">
      <c r="A802" s="13"/>
      <c r="B802" s="13"/>
      <c r="C802" s="12"/>
      <c r="D802" s="86"/>
      <c r="E802" s="86"/>
      <c r="F802" s="11"/>
      <c r="G802" s="83"/>
      <c r="H802" s="94"/>
      <c r="K802" s="221"/>
    </row>
    <row r="803" spans="1:11" s="2" customFormat="1" x14ac:dyDescent="0.2">
      <c r="A803" s="13"/>
      <c r="B803" s="13"/>
      <c r="C803" s="12"/>
      <c r="D803" s="86"/>
      <c r="E803" s="86"/>
      <c r="F803" s="11"/>
      <c r="G803" s="83"/>
      <c r="H803" s="94"/>
      <c r="K803" s="221"/>
    </row>
    <row r="804" spans="1:11" s="2" customFormat="1" x14ac:dyDescent="0.2">
      <c r="A804" s="13"/>
      <c r="B804" s="13"/>
      <c r="C804" s="12"/>
      <c r="D804" s="86"/>
      <c r="E804" s="86"/>
      <c r="F804" s="11"/>
      <c r="G804" s="83"/>
      <c r="H804" s="94"/>
      <c r="K804" s="221"/>
    </row>
    <row r="805" spans="1:11" s="2" customFormat="1" x14ac:dyDescent="0.2">
      <c r="A805" s="13"/>
      <c r="B805" s="13"/>
      <c r="C805" s="12"/>
      <c r="D805" s="86"/>
      <c r="E805" s="86"/>
      <c r="F805" s="11"/>
      <c r="G805" s="83"/>
      <c r="H805" s="94"/>
      <c r="K805" s="221"/>
    </row>
    <row r="806" spans="1:11" s="2" customFormat="1" x14ac:dyDescent="0.2">
      <c r="A806" s="13"/>
      <c r="B806" s="13"/>
      <c r="C806" s="12"/>
      <c r="D806" s="86"/>
      <c r="E806" s="86"/>
      <c r="F806" s="11"/>
      <c r="G806" s="83"/>
      <c r="H806" s="94"/>
      <c r="K806" s="221"/>
    </row>
    <row r="807" spans="1:11" s="2" customFormat="1" x14ac:dyDescent="0.2">
      <c r="A807" s="13"/>
      <c r="B807" s="13"/>
      <c r="C807" s="12"/>
      <c r="D807" s="86"/>
      <c r="E807" s="86"/>
      <c r="F807" s="11"/>
      <c r="G807" s="83"/>
      <c r="H807" s="94"/>
      <c r="K807" s="221"/>
    </row>
    <row r="808" spans="1:11" s="2" customFormat="1" x14ac:dyDescent="0.2">
      <c r="A808" s="13"/>
      <c r="B808" s="13"/>
      <c r="C808" s="12"/>
      <c r="D808" s="86"/>
      <c r="E808" s="86"/>
      <c r="F808" s="11"/>
      <c r="G808" s="83"/>
      <c r="H808" s="94"/>
      <c r="K808" s="221"/>
    </row>
    <row r="809" spans="1:11" s="2" customFormat="1" x14ac:dyDescent="0.2">
      <c r="A809" s="13"/>
      <c r="B809" s="13"/>
      <c r="C809" s="12"/>
      <c r="D809" s="86"/>
      <c r="E809" s="86"/>
      <c r="F809" s="11"/>
      <c r="G809" s="83"/>
      <c r="H809" s="94"/>
      <c r="K809" s="221"/>
    </row>
    <row r="810" spans="1:11" s="2" customFormat="1" x14ac:dyDescent="0.2">
      <c r="A810" s="13"/>
      <c r="B810" s="13"/>
      <c r="C810" s="12"/>
      <c r="D810" s="86"/>
      <c r="E810" s="86"/>
      <c r="F810" s="11"/>
      <c r="G810" s="83"/>
      <c r="H810" s="94"/>
      <c r="K810" s="221"/>
    </row>
    <row r="811" spans="1:11" s="2" customFormat="1" x14ac:dyDescent="0.2">
      <c r="A811" s="13"/>
      <c r="B811" s="13"/>
      <c r="C811" s="12"/>
      <c r="D811" s="86"/>
      <c r="E811" s="86"/>
      <c r="F811" s="11"/>
      <c r="G811" s="83"/>
      <c r="H811" s="94"/>
      <c r="K811" s="221"/>
    </row>
    <row r="812" spans="1:11" s="2" customFormat="1" x14ac:dyDescent="0.2">
      <c r="A812" s="13"/>
      <c r="B812" s="13"/>
      <c r="C812" s="12"/>
      <c r="D812" s="86"/>
      <c r="E812" s="86"/>
      <c r="F812" s="11"/>
      <c r="G812" s="83"/>
      <c r="H812" s="94"/>
      <c r="K812" s="221"/>
    </row>
    <row r="813" spans="1:11" s="2" customFormat="1" x14ac:dyDescent="0.2">
      <c r="A813" s="13"/>
      <c r="B813" s="13"/>
      <c r="C813" s="12"/>
      <c r="D813" s="86"/>
      <c r="E813" s="86"/>
      <c r="F813" s="11"/>
      <c r="G813" s="83"/>
      <c r="H813" s="94"/>
      <c r="K813" s="221"/>
    </row>
    <row r="814" spans="1:11" s="2" customFormat="1" x14ac:dyDescent="0.2">
      <c r="A814" s="13"/>
      <c r="B814" s="13"/>
      <c r="C814" s="12"/>
      <c r="D814" s="86"/>
      <c r="E814" s="86"/>
      <c r="F814" s="11"/>
      <c r="G814" s="83"/>
      <c r="H814" s="94"/>
      <c r="K814" s="221"/>
    </row>
    <row r="815" spans="1:11" s="2" customFormat="1" x14ac:dyDescent="0.2">
      <c r="A815" s="13"/>
      <c r="B815" s="13"/>
      <c r="C815" s="12"/>
      <c r="D815" s="86"/>
      <c r="E815" s="86"/>
      <c r="F815" s="11"/>
      <c r="G815" s="83"/>
      <c r="H815" s="94"/>
      <c r="K815" s="221"/>
    </row>
    <row r="816" spans="1:11" s="2" customFormat="1" x14ac:dyDescent="0.2">
      <c r="A816" s="13"/>
      <c r="B816" s="13"/>
      <c r="C816" s="12"/>
      <c r="D816" s="86"/>
      <c r="E816" s="86"/>
      <c r="F816" s="11"/>
      <c r="G816" s="83"/>
      <c r="H816" s="94"/>
      <c r="K816" s="221"/>
    </row>
    <row r="817" spans="1:11" s="2" customFormat="1" x14ac:dyDescent="0.2">
      <c r="A817" s="13"/>
      <c r="B817" s="13"/>
      <c r="C817" s="12"/>
      <c r="D817" s="86"/>
      <c r="E817" s="86"/>
      <c r="F817" s="11"/>
      <c r="G817" s="83"/>
      <c r="H817" s="94"/>
      <c r="K817" s="221"/>
    </row>
    <row r="818" spans="1:11" s="2" customFormat="1" x14ac:dyDescent="0.2">
      <c r="A818" s="13"/>
      <c r="B818" s="13"/>
      <c r="C818" s="12"/>
      <c r="D818" s="86"/>
      <c r="E818" s="86"/>
      <c r="F818" s="11"/>
      <c r="G818" s="83"/>
      <c r="H818" s="94"/>
      <c r="K818" s="221"/>
    </row>
    <row r="819" spans="1:11" s="2" customFormat="1" x14ac:dyDescent="0.2">
      <c r="A819" s="13"/>
      <c r="B819" s="13"/>
      <c r="C819" s="12"/>
      <c r="D819" s="86"/>
      <c r="E819" s="86"/>
      <c r="F819" s="11"/>
      <c r="G819" s="83"/>
      <c r="H819" s="94"/>
      <c r="K819" s="221"/>
    </row>
    <row r="820" spans="1:11" s="2" customFormat="1" x14ac:dyDescent="0.2">
      <c r="A820" s="13"/>
      <c r="B820" s="13"/>
      <c r="C820" s="12"/>
      <c r="D820" s="86"/>
      <c r="E820" s="86"/>
      <c r="F820" s="11"/>
      <c r="G820" s="83"/>
      <c r="H820" s="94"/>
      <c r="K820" s="221"/>
    </row>
    <row r="821" spans="1:11" s="2" customFormat="1" x14ac:dyDescent="0.2">
      <c r="A821" s="13"/>
      <c r="B821" s="13"/>
      <c r="C821" s="12"/>
      <c r="D821" s="86"/>
      <c r="E821" s="86"/>
      <c r="F821" s="11"/>
      <c r="G821" s="83"/>
      <c r="H821" s="94"/>
      <c r="K821" s="221"/>
    </row>
    <row r="822" spans="1:11" s="2" customFormat="1" x14ac:dyDescent="0.2">
      <c r="A822" s="13"/>
      <c r="B822" s="13"/>
      <c r="C822" s="12"/>
      <c r="D822" s="86"/>
      <c r="E822" s="86"/>
      <c r="F822" s="11"/>
      <c r="G822" s="83"/>
      <c r="H822" s="94"/>
      <c r="K822" s="221"/>
    </row>
    <row r="823" spans="1:11" s="2" customFormat="1" x14ac:dyDescent="0.2">
      <c r="A823" s="13"/>
      <c r="B823" s="13"/>
      <c r="C823" s="12"/>
      <c r="D823" s="86"/>
      <c r="E823" s="86"/>
      <c r="F823" s="11"/>
      <c r="G823" s="83"/>
      <c r="H823" s="94"/>
      <c r="K823" s="221"/>
    </row>
    <row r="824" spans="1:11" s="2" customFormat="1" x14ac:dyDescent="0.2">
      <c r="A824" s="13"/>
      <c r="B824" s="13"/>
      <c r="C824" s="12"/>
      <c r="D824" s="86"/>
      <c r="E824" s="86"/>
      <c r="F824" s="11"/>
      <c r="G824" s="83"/>
      <c r="H824" s="94"/>
      <c r="K824" s="221"/>
    </row>
    <row r="825" spans="1:11" s="2" customFormat="1" x14ac:dyDescent="0.2">
      <c r="A825" s="13"/>
      <c r="B825" s="13"/>
      <c r="C825" s="12"/>
      <c r="D825" s="86"/>
      <c r="E825" s="86"/>
      <c r="F825" s="11"/>
      <c r="G825" s="83"/>
      <c r="H825" s="94"/>
      <c r="K825" s="221"/>
    </row>
    <row r="826" spans="1:11" s="2" customFormat="1" x14ac:dyDescent="0.2">
      <c r="A826" s="13"/>
      <c r="B826" s="13"/>
      <c r="C826" s="12"/>
      <c r="D826" s="86"/>
      <c r="E826" s="86"/>
      <c r="F826" s="11"/>
      <c r="G826" s="83"/>
      <c r="H826" s="94"/>
      <c r="K826" s="221"/>
    </row>
    <row r="827" spans="1:11" s="2" customFormat="1" x14ac:dyDescent="0.2">
      <c r="A827" s="13"/>
      <c r="B827" s="13"/>
      <c r="C827" s="12"/>
      <c r="D827" s="86"/>
      <c r="E827" s="86"/>
      <c r="F827" s="11"/>
      <c r="G827" s="83"/>
      <c r="H827" s="94"/>
      <c r="K827" s="221"/>
    </row>
    <row r="828" spans="1:11" s="2" customFormat="1" x14ac:dyDescent="0.2">
      <c r="A828" s="13"/>
      <c r="B828" s="13"/>
      <c r="C828" s="12"/>
      <c r="D828" s="86"/>
      <c r="E828" s="86"/>
      <c r="F828" s="11"/>
      <c r="G828" s="83"/>
      <c r="H828" s="94"/>
      <c r="K828" s="221"/>
    </row>
    <row r="829" spans="1:11" s="2" customFormat="1" x14ac:dyDescent="0.2">
      <c r="A829" s="13"/>
      <c r="B829" s="13"/>
      <c r="C829" s="12"/>
      <c r="D829" s="86"/>
      <c r="E829" s="86"/>
      <c r="F829" s="11"/>
      <c r="G829" s="83"/>
      <c r="H829" s="94"/>
      <c r="K829" s="221"/>
    </row>
    <row r="830" spans="1:11" s="2" customFormat="1" x14ac:dyDescent="0.2">
      <c r="A830" s="13"/>
      <c r="B830" s="13"/>
      <c r="C830" s="12"/>
      <c r="D830" s="86"/>
      <c r="E830" s="86"/>
      <c r="F830" s="11"/>
      <c r="G830" s="83"/>
      <c r="H830" s="94"/>
      <c r="K830" s="221"/>
    </row>
    <row r="831" spans="1:11" s="2" customFormat="1" x14ac:dyDescent="0.2">
      <c r="A831" s="13"/>
      <c r="B831" s="13"/>
      <c r="C831" s="12"/>
      <c r="D831" s="86"/>
      <c r="E831" s="86"/>
      <c r="F831" s="11"/>
      <c r="G831" s="83"/>
      <c r="H831" s="94"/>
      <c r="K831" s="221"/>
    </row>
    <row r="832" spans="1:11" s="2" customFormat="1" x14ac:dyDescent="0.2">
      <c r="A832" s="13"/>
      <c r="B832" s="13"/>
      <c r="C832" s="12"/>
      <c r="D832" s="86"/>
      <c r="E832" s="86"/>
      <c r="F832" s="11"/>
      <c r="G832" s="83"/>
      <c r="H832" s="94"/>
      <c r="K832" s="221"/>
    </row>
    <row r="833" spans="1:11" s="2" customFormat="1" x14ac:dyDescent="0.2">
      <c r="A833" s="13"/>
      <c r="B833" s="13"/>
      <c r="C833" s="12"/>
      <c r="D833" s="86"/>
      <c r="E833" s="86"/>
      <c r="F833" s="11"/>
      <c r="G833" s="83"/>
      <c r="H833" s="94"/>
      <c r="K833" s="221"/>
    </row>
    <row r="834" spans="1:11" s="2" customFormat="1" x14ac:dyDescent="0.2">
      <c r="A834" s="13"/>
      <c r="B834" s="13"/>
      <c r="C834" s="12"/>
      <c r="D834" s="86"/>
      <c r="E834" s="86"/>
      <c r="F834" s="11"/>
      <c r="G834" s="83"/>
      <c r="H834" s="94"/>
      <c r="K834" s="221"/>
    </row>
    <row r="835" spans="1:11" s="2" customFormat="1" x14ac:dyDescent="0.2">
      <c r="A835" s="13"/>
      <c r="B835" s="13"/>
      <c r="C835" s="12"/>
      <c r="D835" s="86"/>
      <c r="E835" s="86"/>
      <c r="F835" s="11"/>
      <c r="G835" s="83"/>
      <c r="H835" s="94"/>
      <c r="K835" s="221"/>
    </row>
    <row r="836" spans="1:11" s="2" customFormat="1" x14ac:dyDescent="0.2">
      <c r="A836" s="13"/>
      <c r="B836" s="13"/>
      <c r="C836" s="12"/>
      <c r="D836" s="86"/>
      <c r="E836" s="86"/>
      <c r="F836" s="11"/>
      <c r="G836" s="83"/>
      <c r="H836" s="94"/>
      <c r="K836" s="221"/>
    </row>
    <row r="837" spans="1:11" s="2" customFormat="1" x14ac:dyDescent="0.2">
      <c r="A837" s="13"/>
      <c r="B837" s="13"/>
      <c r="C837" s="12"/>
      <c r="D837" s="86"/>
      <c r="E837" s="86"/>
      <c r="F837" s="11"/>
      <c r="G837" s="83"/>
      <c r="H837" s="94"/>
      <c r="K837" s="221"/>
    </row>
    <row r="838" spans="1:11" s="2" customFormat="1" x14ac:dyDescent="0.2">
      <c r="A838" s="13"/>
      <c r="B838" s="13"/>
      <c r="C838" s="12"/>
      <c r="D838" s="86"/>
      <c r="E838" s="86"/>
      <c r="F838" s="11"/>
      <c r="G838" s="83"/>
      <c r="H838" s="94"/>
      <c r="K838" s="221"/>
    </row>
    <row r="839" spans="1:11" s="2" customFormat="1" x14ac:dyDescent="0.2">
      <c r="A839" s="13"/>
      <c r="B839" s="13"/>
      <c r="C839" s="12"/>
      <c r="D839" s="86"/>
      <c r="E839" s="86"/>
      <c r="F839" s="11"/>
      <c r="G839" s="83"/>
      <c r="H839" s="94"/>
      <c r="K839" s="221"/>
    </row>
    <row r="840" spans="1:11" s="2" customFormat="1" x14ac:dyDescent="0.2">
      <c r="A840" s="13"/>
      <c r="B840" s="13"/>
      <c r="C840" s="12"/>
      <c r="D840" s="86"/>
      <c r="E840" s="86"/>
      <c r="F840" s="11"/>
      <c r="G840" s="83"/>
      <c r="H840" s="94"/>
      <c r="K840" s="221"/>
    </row>
    <row r="841" spans="1:11" s="2" customFormat="1" x14ac:dyDescent="0.2">
      <c r="A841" s="13"/>
      <c r="B841" s="13"/>
      <c r="C841" s="12"/>
      <c r="D841" s="86"/>
      <c r="E841" s="86"/>
      <c r="F841" s="11"/>
      <c r="G841" s="83"/>
      <c r="H841" s="94"/>
      <c r="K841" s="221"/>
    </row>
    <row r="842" spans="1:11" s="2" customFormat="1" x14ac:dyDescent="0.2">
      <c r="A842" s="13"/>
      <c r="B842" s="13"/>
      <c r="C842" s="12"/>
      <c r="D842" s="86"/>
      <c r="E842" s="86"/>
      <c r="F842" s="11"/>
      <c r="G842" s="83"/>
      <c r="H842" s="94"/>
      <c r="K842" s="221"/>
    </row>
    <row r="843" spans="1:11" s="2" customFormat="1" x14ac:dyDescent="0.2">
      <c r="A843" s="13"/>
      <c r="B843" s="13"/>
      <c r="C843" s="12"/>
      <c r="D843" s="86"/>
      <c r="E843" s="86"/>
      <c r="F843" s="11"/>
      <c r="G843" s="83"/>
      <c r="H843" s="94"/>
      <c r="K843" s="221"/>
    </row>
    <row r="844" spans="1:11" s="2" customFormat="1" x14ac:dyDescent="0.2">
      <c r="A844" s="13"/>
      <c r="B844" s="13"/>
      <c r="C844" s="12"/>
      <c r="D844" s="86"/>
      <c r="E844" s="86"/>
      <c r="F844" s="11"/>
      <c r="G844" s="83"/>
      <c r="H844" s="94"/>
      <c r="K844" s="221"/>
    </row>
    <row r="845" spans="1:11" s="2" customFormat="1" x14ac:dyDescent="0.2">
      <c r="A845" s="13"/>
      <c r="B845" s="13"/>
      <c r="C845" s="12"/>
      <c r="D845" s="86"/>
      <c r="E845" s="86"/>
      <c r="F845" s="11"/>
      <c r="G845" s="83"/>
      <c r="H845" s="94"/>
      <c r="K845" s="221"/>
    </row>
    <row r="846" spans="1:11" s="2" customFormat="1" x14ac:dyDescent="0.2">
      <c r="A846" s="13"/>
      <c r="B846" s="13"/>
      <c r="C846" s="12"/>
      <c r="D846" s="86"/>
      <c r="E846" s="86"/>
      <c r="F846" s="11"/>
      <c r="G846" s="83"/>
      <c r="H846" s="94"/>
      <c r="K846" s="221"/>
    </row>
    <row r="847" spans="1:11" s="2" customFormat="1" x14ac:dyDescent="0.2">
      <c r="A847" s="13"/>
      <c r="B847" s="13"/>
      <c r="C847" s="12"/>
      <c r="D847" s="86"/>
      <c r="E847" s="86"/>
      <c r="F847" s="11"/>
      <c r="G847" s="83"/>
      <c r="H847" s="94"/>
      <c r="K847" s="221"/>
    </row>
    <row r="848" spans="1:11" s="2" customFormat="1" x14ac:dyDescent="0.2">
      <c r="A848" s="13"/>
      <c r="B848" s="13"/>
      <c r="C848" s="12"/>
      <c r="D848" s="86"/>
      <c r="E848" s="86"/>
      <c r="F848" s="11"/>
      <c r="G848" s="83"/>
      <c r="H848" s="94"/>
      <c r="K848" s="221"/>
    </row>
    <row r="849" spans="1:11" s="2" customFormat="1" x14ac:dyDescent="0.2">
      <c r="A849" s="13"/>
      <c r="B849" s="13"/>
      <c r="C849" s="12"/>
      <c r="D849" s="86"/>
      <c r="E849" s="86"/>
      <c r="F849" s="11"/>
      <c r="G849" s="83"/>
      <c r="H849" s="94"/>
      <c r="K849" s="221"/>
    </row>
    <row r="850" spans="1:11" s="2" customFormat="1" x14ac:dyDescent="0.2">
      <c r="A850" s="13"/>
      <c r="B850" s="13"/>
      <c r="C850" s="12"/>
      <c r="D850" s="86"/>
      <c r="E850" s="86"/>
      <c r="F850" s="11"/>
      <c r="G850" s="83"/>
      <c r="H850" s="94"/>
      <c r="K850" s="221"/>
    </row>
    <row r="851" spans="1:11" s="2" customFormat="1" x14ac:dyDescent="0.2">
      <c r="A851" s="13"/>
      <c r="B851" s="13"/>
      <c r="C851" s="12"/>
      <c r="D851" s="86"/>
      <c r="E851" s="86"/>
      <c r="F851" s="11"/>
      <c r="G851" s="83"/>
      <c r="H851" s="94"/>
      <c r="K851" s="221"/>
    </row>
    <row r="852" spans="1:11" s="2" customFormat="1" x14ac:dyDescent="0.2">
      <c r="A852" s="13"/>
      <c r="B852" s="13"/>
      <c r="C852" s="12"/>
      <c r="D852" s="86"/>
      <c r="E852" s="86"/>
      <c r="F852" s="11"/>
      <c r="G852" s="83"/>
      <c r="H852" s="94"/>
      <c r="K852" s="221"/>
    </row>
    <row r="853" spans="1:11" s="2" customFormat="1" x14ac:dyDescent="0.2">
      <c r="A853" s="13"/>
      <c r="B853" s="13"/>
      <c r="C853" s="12"/>
      <c r="D853" s="86"/>
      <c r="E853" s="86"/>
      <c r="F853" s="11"/>
      <c r="G853" s="83"/>
      <c r="H853" s="94"/>
      <c r="K853" s="221"/>
    </row>
    <row r="854" spans="1:11" s="2" customFormat="1" x14ac:dyDescent="0.2">
      <c r="A854" s="13"/>
      <c r="B854" s="13"/>
      <c r="C854" s="12"/>
      <c r="D854" s="86"/>
      <c r="E854" s="86"/>
      <c r="F854" s="11"/>
      <c r="G854" s="83"/>
      <c r="H854" s="94"/>
      <c r="K854" s="221"/>
    </row>
    <row r="855" spans="1:11" s="2" customFormat="1" x14ac:dyDescent="0.2">
      <c r="A855" s="13"/>
      <c r="B855" s="13"/>
      <c r="C855" s="12"/>
      <c r="D855" s="86"/>
      <c r="E855" s="86"/>
      <c r="F855" s="11"/>
      <c r="G855" s="83"/>
      <c r="H855" s="94"/>
      <c r="K855" s="221"/>
    </row>
    <row r="856" spans="1:11" s="2" customFormat="1" x14ac:dyDescent="0.2">
      <c r="A856" s="13"/>
      <c r="B856" s="13"/>
      <c r="C856" s="12"/>
      <c r="D856" s="86"/>
      <c r="E856" s="86"/>
      <c r="F856" s="11"/>
      <c r="G856" s="83"/>
      <c r="H856" s="94"/>
      <c r="K856" s="221"/>
    </row>
    <row r="857" spans="1:11" s="2" customFormat="1" x14ac:dyDescent="0.2">
      <c r="A857" s="13"/>
      <c r="B857" s="13"/>
      <c r="C857" s="12"/>
      <c r="D857" s="86"/>
      <c r="E857" s="86"/>
      <c r="F857" s="11"/>
      <c r="G857" s="83"/>
      <c r="H857" s="94"/>
      <c r="K857" s="221"/>
    </row>
    <row r="858" spans="1:11" s="2" customFormat="1" x14ac:dyDescent="0.2">
      <c r="A858" s="13"/>
      <c r="B858" s="13"/>
      <c r="C858" s="12"/>
      <c r="D858" s="86"/>
      <c r="E858" s="86"/>
      <c r="F858" s="11"/>
      <c r="G858" s="83"/>
      <c r="H858" s="94"/>
      <c r="K858" s="221"/>
    </row>
    <row r="859" spans="1:11" s="2" customFormat="1" x14ac:dyDescent="0.2">
      <c r="A859" s="13"/>
      <c r="B859" s="13"/>
      <c r="C859" s="12"/>
      <c r="D859" s="86"/>
      <c r="E859" s="86"/>
      <c r="F859" s="11"/>
      <c r="G859" s="83"/>
      <c r="H859" s="94"/>
      <c r="K859" s="221"/>
    </row>
    <row r="860" spans="1:11" s="2" customFormat="1" x14ac:dyDescent="0.2">
      <c r="A860" s="13"/>
      <c r="B860" s="13"/>
      <c r="C860" s="12"/>
      <c r="D860" s="86"/>
      <c r="E860" s="86"/>
      <c r="F860" s="11"/>
      <c r="G860" s="83"/>
      <c r="H860" s="94"/>
      <c r="K860" s="221"/>
    </row>
    <row r="861" spans="1:11" s="2" customFormat="1" x14ac:dyDescent="0.2">
      <c r="A861" s="13"/>
      <c r="B861" s="13"/>
      <c r="C861" s="12"/>
      <c r="D861" s="86"/>
      <c r="E861" s="86"/>
      <c r="F861" s="11"/>
      <c r="G861" s="83"/>
      <c r="H861" s="94"/>
      <c r="K861" s="221"/>
    </row>
    <row r="862" spans="1:11" s="2" customFormat="1" x14ac:dyDescent="0.2">
      <c r="A862" s="13"/>
      <c r="B862" s="13"/>
      <c r="C862" s="12"/>
      <c r="D862" s="86"/>
      <c r="E862" s="86"/>
      <c r="F862" s="11"/>
      <c r="G862" s="83"/>
      <c r="H862" s="94"/>
      <c r="K862" s="221"/>
    </row>
    <row r="863" spans="1:11" s="2" customFormat="1" x14ac:dyDescent="0.2">
      <c r="A863" s="13"/>
      <c r="B863" s="13"/>
      <c r="C863" s="12"/>
      <c r="D863" s="86"/>
      <c r="E863" s="86"/>
      <c r="F863" s="11"/>
      <c r="G863" s="83"/>
      <c r="H863" s="94"/>
      <c r="K863" s="221"/>
    </row>
    <row r="864" spans="1:11" s="2" customFormat="1" x14ac:dyDescent="0.2">
      <c r="A864" s="13"/>
      <c r="B864" s="13"/>
      <c r="C864" s="12"/>
      <c r="D864" s="86"/>
      <c r="E864" s="86"/>
      <c r="F864" s="11"/>
      <c r="G864" s="83"/>
      <c r="H864" s="94"/>
      <c r="K864" s="221"/>
    </row>
    <row r="865" spans="1:11" s="2" customFormat="1" x14ac:dyDescent="0.2">
      <c r="A865" s="13"/>
      <c r="B865" s="13"/>
      <c r="C865" s="12"/>
      <c r="D865" s="86"/>
      <c r="E865" s="86"/>
      <c r="F865" s="11"/>
      <c r="G865" s="83"/>
      <c r="H865" s="94"/>
      <c r="K865" s="221"/>
    </row>
    <row r="866" spans="1:11" s="2" customFormat="1" x14ac:dyDescent="0.2">
      <c r="A866" s="13"/>
      <c r="B866" s="13"/>
      <c r="C866" s="12"/>
      <c r="D866" s="86"/>
      <c r="E866" s="86"/>
      <c r="F866" s="11"/>
      <c r="G866" s="83"/>
      <c r="H866" s="94"/>
      <c r="K866" s="221"/>
    </row>
    <row r="867" spans="1:11" s="2" customFormat="1" x14ac:dyDescent="0.2">
      <c r="A867" s="13"/>
      <c r="B867" s="13"/>
      <c r="C867" s="12"/>
      <c r="D867" s="86"/>
      <c r="E867" s="86"/>
      <c r="F867" s="11"/>
      <c r="G867" s="83"/>
      <c r="H867" s="94"/>
      <c r="K867" s="221"/>
    </row>
    <row r="868" spans="1:11" s="2" customFormat="1" x14ac:dyDescent="0.2">
      <c r="A868" s="13"/>
      <c r="B868" s="13"/>
      <c r="C868" s="12"/>
      <c r="D868" s="86"/>
      <c r="E868" s="86"/>
      <c r="F868" s="11"/>
      <c r="G868" s="83"/>
      <c r="H868" s="94"/>
      <c r="K868" s="221"/>
    </row>
    <row r="869" spans="1:11" s="2" customFormat="1" x14ac:dyDescent="0.2">
      <c r="A869" s="13"/>
      <c r="B869" s="13"/>
      <c r="C869" s="12"/>
      <c r="D869" s="86"/>
      <c r="E869" s="86"/>
      <c r="F869" s="11"/>
      <c r="G869" s="83"/>
      <c r="H869" s="94"/>
      <c r="K869" s="221"/>
    </row>
    <row r="870" spans="1:11" s="2" customFormat="1" x14ac:dyDescent="0.2">
      <c r="A870" s="13"/>
      <c r="B870" s="13"/>
      <c r="C870" s="12"/>
      <c r="D870" s="86"/>
      <c r="E870" s="86"/>
      <c r="F870" s="11"/>
      <c r="G870" s="83"/>
      <c r="H870" s="94"/>
      <c r="K870" s="221"/>
    </row>
    <row r="871" spans="1:11" s="2" customFormat="1" x14ac:dyDescent="0.2">
      <c r="A871" s="13"/>
      <c r="B871" s="13"/>
      <c r="C871" s="12"/>
      <c r="D871" s="86"/>
      <c r="E871" s="86"/>
      <c r="F871" s="11"/>
      <c r="G871" s="83"/>
      <c r="H871" s="94"/>
      <c r="K871" s="221"/>
    </row>
    <row r="872" spans="1:11" s="2" customFormat="1" x14ac:dyDescent="0.2">
      <c r="A872" s="13"/>
      <c r="B872" s="13"/>
      <c r="C872" s="12"/>
      <c r="D872" s="86"/>
      <c r="E872" s="86"/>
      <c r="F872" s="11"/>
      <c r="G872" s="83"/>
      <c r="H872" s="94"/>
      <c r="K872" s="221"/>
    </row>
    <row r="873" spans="1:11" s="2" customFormat="1" x14ac:dyDescent="0.2">
      <c r="A873" s="13"/>
      <c r="B873" s="13"/>
      <c r="C873" s="12"/>
      <c r="D873" s="86"/>
      <c r="E873" s="86"/>
      <c r="F873" s="11"/>
      <c r="G873" s="83"/>
      <c r="H873" s="94"/>
      <c r="K873" s="221"/>
    </row>
    <row r="874" spans="1:11" s="2" customFormat="1" x14ac:dyDescent="0.2">
      <c r="A874" s="13"/>
      <c r="B874" s="13"/>
      <c r="C874" s="12"/>
      <c r="D874" s="86"/>
      <c r="E874" s="86"/>
      <c r="F874" s="11"/>
      <c r="G874" s="83"/>
      <c r="H874" s="94"/>
      <c r="K874" s="221"/>
    </row>
    <row r="875" spans="1:11" s="2" customFormat="1" x14ac:dyDescent="0.2">
      <c r="A875" s="13"/>
      <c r="B875" s="13"/>
      <c r="C875" s="12"/>
      <c r="D875" s="86"/>
      <c r="E875" s="86"/>
      <c r="F875" s="11"/>
      <c r="G875" s="83"/>
      <c r="H875" s="94"/>
      <c r="K875" s="221"/>
    </row>
    <row r="876" spans="1:11" s="2" customFormat="1" x14ac:dyDescent="0.2">
      <c r="A876" s="13"/>
      <c r="B876" s="13"/>
      <c r="C876" s="12"/>
      <c r="D876" s="86"/>
      <c r="E876" s="86"/>
      <c r="F876" s="11"/>
      <c r="G876" s="83"/>
      <c r="H876" s="94"/>
      <c r="K876" s="221"/>
    </row>
    <row r="877" spans="1:11" s="2" customFormat="1" x14ac:dyDescent="0.2">
      <c r="A877" s="13"/>
      <c r="B877" s="13"/>
      <c r="C877" s="12"/>
      <c r="D877" s="86"/>
      <c r="E877" s="86"/>
      <c r="F877" s="11"/>
      <c r="G877" s="83"/>
      <c r="H877" s="94"/>
      <c r="K877" s="221"/>
    </row>
    <row r="878" spans="1:11" s="2" customFormat="1" x14ac:dyDescent="0.2">
      <c r="A878" s="13"/>
      <c r="B878" s="13"/>
      <c r="C878" s="12"/>
      <c r="D878" s="86"/>
      <c r="E878" s="86"/>
      <c r="F878" s="11"/>
      <c r="G878" s="83"/>
      <c r="H878" s="94"/>
      <c r="K878" s="221"/>
    </row>
    <row r="879" spans="1:11" s="2" customFormat="1" x14ac:dyDescent="0.2">
      <c r="A879" s="13"/>
      <c r="B879" s="13"/>
      <c r="C879" s="12"/>
      <c r="D879" s="86"/>
      <c r="E879" s="86"/>
      <c r="F879" s="11"/>
      <c r="G879" s="83"/>
      <c r="H879" s="94"/>
      <c r="K879" s="221"/>
    </row>
    <row r="880" spans="1:11" s="2" customFormat="1" x14ac:dyDescent="0.2">
      <c r="A880" s="13"/>
      <c r="B880" s="13"/>
      <c r="C880" s="12"/>
      <c r="D880" s="86"/>
      <c r="E880" s="86"/>
      <c r="F880" s="11"/>
      <c r="G880" s="83"/>
      <c r="H880" s="94"/>
      <c r="K880" s="221"/>
    </row>
    <row r="881" spans="1:11" s="2" customFormat="1" x14ac:dyDescent="0.2">
      <c r="A881" s="13"/>
      <c r="B881" s="13"/>
      <c r="C881" s="12"/>
      <c r="D881" s="86"/>
      <c r="E881" s="86"/>
      <c r="F881" s="11"/>
      <c r="G881" s="83"/>
      <c r="H881" s="94"/>
      <c r="K881" s="221"/>
    </row>
    <row r="882" spans="1:11" s="2" customFormat="1" x14ac:dyDescent="0.2">
      <c r="A882" s="13"/>
      <c r="B882" s="13"/>
      <c r="C882" s="12"/>
      <c r="D882" s="86"/>
      <c r="E882" s="86"/>
      <c r="F882" s="11"/>
      <c r="G882" s="83"/>
      <c r="H882" s="94"/>
      <c r="K882" s="221"/>
    </row>
    <row r="883" spans="1:11" s="2" customFormat="1" x14ac:dyDescent="0.2">
      <c r="A883" s="13"/>
      <c r="B883" s="13"/>
      <c r="C883" s="12"/>
      <c r="D883" s="86"/>
      <c r="E883" s="86"/>
      <c r="F883" s="11"/>
      <c r="G883" s="83"/>
      <c r="H883" s="94"/>
      <c r="K883" s="221"/>
    </row>
    <row r="884" spans="1:11" s="2" customFormat="1" x14ac:dyDescent="0.2">
      <c r="A884" s="13"/>
      <c r="B884" s="13"/>
      <c r="C884" s="12"/>
      <c r="D884" s="86"/>
      <c r="E884" s="86"/>
      <c r="F884" s="11"/>
      <c r="G884" s="83"/>
      <c r="H884" s="94"/>
      <c r="K884" s="221"/>
    </row>
    <row r="885" spans="1:11" s="2" customFormat="1" x14ac:dyDescent="0.2">
      <c r="A885" s="13"/>
      <c r="B885" s="13"/>
      <c r="C885" s="12"/>
      <c r="D885" s="86"/>
      <c r="E885" s="86"/>
      <c r="F885" s="11"/>
      <c r="G885" s="83"/>
      <c r="H885" s="94"/>
      <c r="K885" s="221"/>
    </row>
    <row r="886" spans="1:11" s="2" customFormat="1" x14ac:dyDescent="0.2">
      <c r="A886" s="13"/>
      <c r="B886" s="13"/>
      <c r="C886" s="12"/>
      <c r="D886" s="86"/>
      <c r="E886" s="86"/>
      <c r="F886" s="11"/>
      <c r="G886" s="83"/>
      <c r="H886" s="94"/>
      <c r="K886" s="221"/>
    </row>
    <row r="887" spans="1:11" s="2" customFormat="1" x14ac:dyDescent="0.2">
      <c r="A887" s="13"/>
      <c r="B887" s="13"/>
      <c r="C887" s="12"/>
      <c r="D887" s="86"/>
      <c r="E887" s="86"/>
      <c r="F887" s="11"/>
      <c r="G887" s="83"/>
      <c r="H887" s="94"/>
      <c r="K887" s="221"/>
    </row>
    <row r="888" spans="1:11" s="2" customFormat="1" x14ac:dyDescent="0.2">
      <c r="A888" s="13"/>
      <c r="B888" s="13"/>
      <c r="C888" s="12"/>
      <c r="D888" s="86"/>
      <c r="E888" s="86"/>
      <c r="F888" s="11"/>
      <c r="G888" s="83"/>
      <c r="H888" s="94"/>
      <c r="K888" s="221"/>
    </row>
    <row r="889" spans="1:11" s="2" customFormat="1" x14ac:dyDescent="0.2">
      <c r="A889" s="13"/>
      <c r="B889" s="13"/>
      <c r="C889" s="12"/>
      <c r="D889" s="86"/>
      <c r="E889" s="86"/>
      <c r="F889" s="11"/>
      <c r="G889" s="83"/>
      <c r="H889" s="94"/>
      <c r="K889" s="221"/>
    </row>
    <row r="890" spans="1:11" s="2" customFormat="1" x14ac:dyDescent="0.2">
      <c r="A890" s="13"/>
      <c r="B890" s="13"/>
      <c r="C890" s="12"/>
      <c r="D890" s="86"/>
      <c r="E890" s="86"/>
      <c r="F890" s="11"/>
      <c r="G890" s="83"/>
      <c r="H890" s="94"/>
      <c r="K890" s="221"/>
    </row>
    <row r="891" spans="1:11" s="2" customFormat="1" x14ac:dyDescent="0.2">
      <c r="A891" s="13"/>
      <c r="B891" s="13"/>
      <c r="C891" s="12"/>
      <c r="D891" s="86"/>
      <c r="E891" s="86"/>
      <c r="F891" s="11"/>
      <c r="G891" s="83"/>
      <c r="H891" s="94"/>
      <c r="K891" s="221"/>
    </row>
    <row r="892" spans="1:11" s="2" customFormat="1" x14ac:dyDescent="0.2">
      <c r="A892" s="13"/>
      <c r="B892" s="13"/>
      <c r="C892" s="12"/>
      <c r="D892" s="86"/>
      <c r="E892" s="86"/>
      <c r="F892" s="11"/>
      <c r="G892" s="83"/>
      <c r="H892" s="94"/>
      <c r="K892" s="221"/>
    </row>
    <row r="893" spans="1:11" s="2" customFormat="1" x14ac:dyDescent="0.2">
      <c r="A893" s="13"/>
      <c r="B893" s="13"/>
      <c r="C893" s="12"/>
      <c r="D893" s="86"/>
      <c r="E893" s="86"/>
      <c r="F893" s="11"/>
      <c r="G893" s="83"/>
      <c r="H893" s="94"/>
      <c r="K893" s="221"/>
    </row>
    <row r="894" spans="1:11" s="2" customFormat="1" x14ac:dyDescent="0.2">
      <c r="A894" s="13"/>
      <c r="B894" s="13"/>
      <c r="C894" s="12"/>
      <c r="D894" s="86"/>
      <c r="E894" s="86"/>
      <c r="F894" s="11"/>
      <c r="G894" s="83"/>
      <c r="H894" s="94"/>
      <c r="K894" s="221"/>
    </row>
    <row r="895" spans="1:11" s="2" customFormat="1" x14ac:dyDescent="0.2">
      <c r="A895" s="13"/>
      <c r="B895" s="13"/>
      <c r="C895" s="12"/>
      <c r="D895" s="86"/>
      <c r="E895" s="86"/>
      <c r="F895" s="11"/>
      <c r="G895" s="83"/>
      <c r="H895" s="94"/>
      <c r="K895" s="221"/>
    </row>
    <row r="896" spans="1:11" s="2" customFormat="1" x14ac:dyDescent="0.2">
      <c r="A896" s="13"/>
      <c r="B896" s="13"/>
      <c r="C896" s="12"/>
      <c r="D896" s="86"/>
      <c r="E896" s="86"/>
      <c r="F896" s="11"/>
      <c r="G896" s="83"/>
      <c r="H896" s="94"/>
      <c r="K896" s="221"/>
    </row>
    <row r="897" spans="1:11" s="2" customFormat="1" x14ac:dyDescent="0.2">
      <c r="A897" s="13"/>
      <c r="B897" s="13"/>
      <c r="C897" s="12"/>
      <c r="D897" s="86"/>
      <c r="E897" s="86"/>
      <c r="F897" s="11"/>
      <c r="G897" s="83"/>
      <c r="H897" s="94"/>
      <c r="K897" s="221"/>
    </row>
    <row r="898" spans="1:11" s="2" customFormat="1" x14ac:dyDescent="0.2">
      <c r="A898" s="13"/>
      <c r="B898" s="13"/>
      <c r="C898" s="12"/>
      <c r="D898" s="86"/>
      <c r="E898" s="86"/>
      <c r="F898" s="11"/>
      <c r="G898" s="83"/>
      <c r="H898" s="94"/>
      <c r="K898" s="221"/>
    </row>
    <row r="899" spans="1:11" s="2" customFormat="1" x14ac:dyDescent="0.2">
      <c r="A899" s="13"/>
      <c r="B899" s="13"/>
      <c r="C899" s="12"/>
      <c r="D899" s="86"/>
      <c r="E899" s="86"/>
      <c r="F899" s="11"/>
      <c r="G899" s="83"/>
      <c r="H899" s="94"/>
      <c r="K899" s="221"/>
    </row>
    <row r="900" spans="1:11" s="2" customFormat="1" x14ac:dyDescent="0.2">
      <c r="A900" s="13"/>
      <c r="B900" s="13"/>
      <c r="C900" s="12"/>
      <c r="D900" s="86"/>
      <c r="E900" s="86"/>
      <c r="F900" s="11"/>
      <c r="G900" s="83"/>
      <c r="H900" s="94"/>
      <c r="K900" s="221"/>
    </row>
    <row r="901" spans="1:11" s="2" customFormat="1" x14ac:dyDescent="0.2">
      <c r="A901" s="13"/>
      <c r="B901" s="13"/>
      <c r="C901" s="12"/>
      <c r="D901" s="86"/>
      <c r="E901" s="86"/>
      <c r="F901" s="11"/>
      <c r="G901" s="83"/>
      <c r="H901" s="94"/>
      <c r="K901" s="221"/>
    </row>
    <row r="902" spans="1:11" s="2" customFormat="1" x14ac:dyDescent="0.2">
      <c r="A902" s="13"/>
      <c r="B902" s="13"/>
      <c r="C902" s="12"/>
      <c r="D902" s="86"/>
      <c r="E902" s="86"/>
      <c r="F902" s="11"/>
      <c r="G902" s="83"/>
      <c r="H902" s="94"/>
      <c r="K902" s="221"/>
    </row>
    <row r="903" spans="1:11" s="2" customFormat="1" x14ac:dyDescent="0.2">
      <c r="A903" s="13"/>
      <c r="B903" s="13"/>
      <c r="C903" s="12"/>
      <c r="D903" s="86"/>
      <c r="E903" s="86"/>
      <c r="F903" s="11"/>
      <c r="G903" s="83"/>
      <c r="H903" s="94"/>
      <c r="K903" s="221"/>
    </row>
    <row r="904" spans="1:11" s="2" customFormat="1" x14ac:dyDescent="0.2">
      <c r="A904" s="13"/>
      <c r="B904" s="13"/>
      <c r="C904" s="12"/>
      <c r="D904" s="86"/>
      <c r="E904" s="86"/>
      <c r="F904" s="11"/>
      <c r="G904" s="83"/>
      <c r="H904" s="94"/>
      <c r="K904" s="221"/>
    </row>
    <row r="905" spans="1:11" s="2" customFormat="1" x14ac:dyDescent="0.2">
      <c r="A905" s="13"/>
      <c r="B905" s="13"/>
      <c r="C905" s="12"/>
      <c r="D905" s="86"/>
      <c r="E905" s="86"/>
      <c r="F905" s="11"/>
      <c r="G905" s="83"/>
      <c r="H905" s="94"/>
      <c r="K905" s="221"/>
    </row>
    <row r="906" spans="1:11" s="2" customFormat="1" x14ac:dyDescent="0.2">
      <c r="A906" s="13"/>
      <c r="B906" s="13"/>
      <c r="C906" s="12"/>
      <c r="D906" s="86"/>
      <c r="E906" s="86"/>
      <c r="F906" s="11"/>
      <c r="G906" s="83"/>
      <c r="H906" s="94"/>
      <c r="K906" s="221"/>
    </row>
    <row r="907" spans="1:11" s="2" customFormat="1" x14ac:dyDescent="0.2">
      <c r="A907" s="13"/>
      <c r="B907" s="13"/>
      <c r="C907" s="12"/>
      <c r="D907" s="86"/>
      <c r="E907" s="86"/>
      <c r="F907" s="11"/>
      <c r="G907" s="83"/>
      <c r="H907" s="94"/>
      <c r="K907" s="221"/>
    </row>
    <row r="908" spans="1:11" s="2" customFormat="1" x14ac:dyDescent="0.2">
      <c r="A908" s="13"/>
      <c r="B908" s="13"/>
      <c r="C908" s="12"/>
      <c r="D908" s="86"/>
      <c r="E908" s="86"/>
      <c r="F908" s="11"/>
      <c r="G908" s="83"/>
      <c r="H908" s="94"/>
      <c r="K908" s="221"/>
    </row>
    <row r="909" spans="1:11" s="2" customFormat="1" x14ac:dyDescent="0.2">
      <c r="A909" s="13"/>
      <c r="B909" s="13"/>
      <c r="C909" s="12"/>
      <c r="D909" s="86"/>
      <c r="E909" s="86"/>
      <c r="F909" s="11"/>
      <c r="G909" s="83"/>
      <c r="H909" s="94"/>
      <c r="K909" s="221"/>
    </row>
    <row r="910" spans="1:11" s="2" customFormat="1" x14ac:dyDescent="0.2">
      <c r="A910" s="13"/>
      <c r="B910" s="13"/>
      <c r="C910" s="12"/>
      <c r="D910" s="86"/>
      <c r="E910" s="86"/>
      <c r="F910" s="11"/>
      <c r="G910" s="83"/>
      <c r="H910" s="94"/>
      <c r="K910" s="221"/>
    </row>
    <row r="911" spans="1:11" s="2" customFormat="1" x14ac:dyDescent="0.2">
      <c r="A911" s="13"/>
      <c r="B911" s="13"/>
      <c r="C911" s="12"/>
      <c r="D911" s="86"/>
      <c r="E911" s="86"/>
      <c r="F911" s="11"/>
      <c r="G911" s="83"/>
      <c r="H911" s="94"/>
      <c r="K911" s="221"/>
    </row>
    <row r="912" spans="1:11" s="2" customFormat="1" x14ac:dyDescent="0.2">
      <c r="A912" s="13"/>
      <c r="B912" s="13"/>
      <c r="C912" s="12"/>
      <c r="D912" s="86"/>
      <c r="E912" s="86"/>
      <c r="F912" s="11"/>
      <c r="G912" s="83"/>
      <c r="H912" s="94"/>
      <c r="K912" s="221"/>
    </row>
    <row r="913" spans="1:11" s="2" customFormat="1" x14ac:dyDescent="0.2">
      <c r="A913" s="13"/>
      <c r="B913" s="13"/>
      <c r="C913" s="12"/>
      <c r="D913" s="86"/>
      <c r="E913" s="86"/>
      <c r="F913" s="11"/>
      <c r="G913" s="83"/>
      <c r="H913" s="94"/>
      <c r="K913" s="221"/>
    </row>
    <row r="914" spans="1:11" s="2" customFormat="1" x14ac:dyDescent="0.2">
      <c r="A914" s="13"/>
      <c r="B914" s="13"/>
      <c r="C914" s="12"/>
      <c r="D914" s="86"/>
      <c r="E914" s="86"/>
      <c r="F914" s="11"/>
      <c r="G914" s="83"/>
      <c r="H914" s="94"/>
      <c r="K914" s="221"/>
    </row>
    <row r="915" spans="1:11" s="2" customFormat="1" x14ac:dyDescent="0.2">
      <c r="A915" s="13"/>
      <c r="B915" s="13"/>
      <c r="C915" s="12"/>
      <c r="D915" s="86"/>
      <c r="E915" s="86"/>
      <c r="F915" s="11"/>
      <c r="G915" s="83"/>
      <c r="H915" s="94"/>
      <c r="K915" s="221"/>
    </row>
    <row r="916" spans="1:11" s="2" customFormat="1" x14ac:dyDescent="0.2">
      <c r="A916" s="13"/>
      <c r="B916" s="13"/>
      <c r="C916" s="12"/>
      <c r="D916" s="86"/>
      <c r="E916" s="86"/>
      <c r="F916" s="11"/>
      <c r="G916" s="83"/>
      <c r="H916" s="94"/>
      <c r="K916" s="221"/>
    </row>
    <row r="917" spans="1:11" s="2" customFormat="1" x14ac:dyDescent="0.2">
      <c r="A917" s="13"/>
      <c r="B917" s="13"/>
      <c r="C917" s="12"/>
      <c r="D917" s="86"/>
      <c r="E917" s="86"/>
      <c r="F917" s="11"/>
      <c r="G917" s="83"/>
      <c r="H917" s="94"/>
      <c r="K917" s="221"/>
    </row>
    <row r="918" spans="1:11" s="2" customFormat="1" x14ac:dyDescent="0.2">
      <c r="A918" s="13"/>
      <c r="B918" s="13"/>
      <c r="C918" s="12"/>
      <c r="D918" s="86"/>
      <c r="E918" s="86"/>
      <c r="F918" s="11"/>
      <c r="G918" s="83"/>
      <c r="H918" s="94"/>
      <c r="K918" s="221"/>
    </row>
    <row r="919" spans="1:11" s="2" customFormat="1" x14ac:dyDescent="0.2">
      <c r="A919" s="13"/>
      <c r="B919" s="13"/>
      <c r="C919" s="12"/>
      <c r="D919" s="86"/>
      <c r="E919" s="86"/>
      <c r="F919" s="11"/>
      <c r="G919" s="83"/>
      <c r="H919" s="94"/>
      <c r="K919" s="221"/>
    </row>
    <row r="920" spans="1:11" s="2" customFormat="1" x14ac:dyDescent="0.2">
      <c r="A920" s="13"/>
      <c r="B920" s="13"/>
      <c r="C920" s="12"/>
      <c r="D920" s="86"/>
      <c r="E920" s="86"/>
      <c r="F920" s="11"/>
      <c r="G920" s="83"/>
      <c r="H920" s="94"/>
      <c r="K920" s="221"/>
    </row>
    <row r="921" spans="1:11" s="2" customFormat="1" x14ac:dyDescent="0.2">
      <c r="A921" s="13"/>
      <c r="B921" s="13"/>
      <c r="C921" s="12"/>
      <c r="D921" s="86"/>
      <c r="E921" s="86"/>
      <c r="F921" s="11"/>
      <c r="G921" s="83"/>
      <c r="H921" s="94"/>
      <c r="K921" s="221"/>
    </row>
    <row r="922" spans="1:11" s="2" customFormat="1" x14ac:dyDescent="0.2">
      <c r="A922" s="13"/>
      <c r="B922" s="13"/>
      <c r="C922" s="12"/>
      <c r="D922" s="86"/>
      <c r="E922" s="86"/>
      <c r="F922" s="11"/>
      <c r="G922" s="83"/>
      <c r="H922" s="94"/>
      <c r="K922" s="221"/>
    </row>
    <row r="923" spans="1:11" s="2" customFormat="1" x14ac:dyDescent="0.2">
      <c r="A923" s="13"/>
      <c r="B923" s="13"/>
      <c r="C923" s="12"/>
      <c r="D923" s="86"/>
      <c r="E923" s="86"/>
      <c r="F923" s="11"/>
      <c r="G923" s="83"/>
      <c r="H923" s="94"/>
      <c r="K923" s="221"/>
    </row>
    <row r="924" spans="1:11" s="2" customFormat="1" x14ac:dyDescent="0.2">
      <c r="A924" s="13"/>
      <c r="B924" s="13"/>
      <c r="C924" s="12"/>
      <c r="D924" s="86"/>
      <c r="E924" s="86"/>
      <c r="F924" s="11"/>
      <c r="G924" s="83"/>
      <c r="H924" s="94"/>
      <c r="K924" s="221"/>
    </row>
    <row r="925" spans="1:11" s="2" customFormat="1" x14ac:dyDescent="0.2">
      <c r="A925" s="13"/>
      <c r="B925" s="13"/>
      <c r="C925" s="12"/>
      <c r="D925" s="86"/>
      <c r="E925" s="86"/>
      <c r="F925" s="11"/>
      <c r="G925" s="83"/>
      <c r="H925" s="94"/>
      <c r="K925" s="221"/>
    </row>
    <row r="926" spans="1:11" s="2" customFormat="1" x14ac:dyDescent="0.2">
      <c r="A926" s="13"/>
      <c r="B926" s="13"/>
      <c r="C926" s="12"/>
      <c r="D926" s="86"/>
      <c r="E926" s="86"/>
      <c r="F926" s="11"/>
      <c r="G926" s="83"/>
      <c r="H926" s="94"/>
      <c r="K926" s="221"/>
    </row>
    <row r="927" spans="1:11" s="2" customFormat="1" x14ac:dyDescent="0.2">
      <c r="A927" s="13"/>
      <c r="B927" s="13"/>
      <c r="C927" s="12"/>
      <c r="D927" s="86"/>
      <c r="E927" s="86"/>
      <c r="F927" s="11"/>
      <c r="G927" s="83"/>
      <c r="H927" s="94"/>
      <c r="K927" s="221"/>
    </row>
    <row r="928" spans="1:11" s="2" customFormat="1" x14ac:dyDescent="0.2">
      <c r="A928" s="13"/>
      <c r="B928" s="13"/>
      <c r="C928" s="12"/>
      <c r="D928" s="86"/>
      <c r="E928" s="86"/>
      <c r="F928" s="11"/>
      <c r="G928" s="83"/>
      <c r="H928" s="94"/>
      <c r="K928" s="221"/>
    </row>
    <row r="929" spans="1:11" s="2" customFormat="1" x14ac:dyDescent="0.2">
      <c r="A929" s="13"/>
      <c r="B929" s="13"/>
      <c r="C929" s="12"/>
      <c r="D929" s="86"/>
      <c r="E929" s="86"/>
      <c r="F929" s="11"/>
      <c r="G929" s="83"/>
      <c r="H929" s="94"/>
      <c r="K929" s="221"/>
    </row>
    <row r="930" spans="1:11" s="2" customFormat="1" x14ac:dyDescent="0.2">
      <c r="A930" s="13"/>
      <c r="B930" s="13"/>
      <c r="C930" s="12"/>
      <c r="D930" s="86"/>
      <c r="E930" s="86"/>
      <c r="F930" s="11"/>
      <c r="G930" s="83"/>
      <c r="H930" s="94"/>
      <c r="K930" s="221"/>
    </row>
    <row r="931" spans="1:11" s="2" customFormat="1" x14ac:dyDescent="0.2">
      <c r="A931" s="13"/>
      <c r="B931" s="13"/>
      <c r="C931" s="12"/>
      <c r="D931" s="86"/>
      <c r="E931" s="86"/>
      <c r="F931" s="11"/>
      <c r="G931" s="83"/>
      <c r="H931" s="94"/>
      <c r="K931" s="221"/>
    </row>
    <row r="932" spans="1:11" s="2" customFormat="1" x14ac:dyDescent="0.2">
      <c r="A932" s="13"/>
      <c r="B932" s="13"/>
      <c r="C932" s="12"/>
      <c r="D932" s="86"/>
      <c r="E932" s="86"/>
      <c r="F932" s="11"/>
      <c r="G932" s="83"/>
      <c r="H932" s="94"/>
      <c r="K932" s="221"/>
    </row>
    <row r="933" spans="1:11" s="2" customFormat="1" x14ac:dyDescent="0.2">
      <c r="A933" s="13"/>
      <c r="B933" s="13"/>
      <c r="C933" s="12"/>
      <c r="D933" s="86"/>
      <c r="E933" s="86"/>
      <c r="F933" s="11"/>
      <c r="G933" s="83"/>
      <c r="H933" s="94"/>
      <c r="K933" s="221"/>
    </row>
    <row r="934" spans="1:11" s="2" customFormat="1" x14ac:dyDescent="0.2">
      <c r="A934" s="13"/>
      <c r="B934" s="13"/>
      <c r="C934" s="12"/>
      <c r="D934" s="86"/>
      <c r="E934" s="86"/>
      <c r="F934" s="11"/>
      <c r="G934" s="83"/>
      <c r="H934" s="94"/>
      <c r="K934" s="221"/>
    </row>
    <row r="935" spans="1:11" s="2" customFormat="1" x14ac:dyDescent="0.2">
      <c r="A935" s="13"/>
      <c r="B935" s="13"/>
      <c r="C935" s="12"/>
      <c r="D935" s="86"/>
      <c r="E935" s="86"/>
      <c r="F935" s="11"/>
      <c r="G935" s="83"/>
      <c r="H935" s="94"/>
      <c r="K935" s="221"/>
    </row>
    <row r="936" spans="1:11" s="2" customFormat="1" x14ac:dyDescent="0.2">
      <c r="A936" s="13"/>
      <c r="B936" s="13"/>
      <c r="C936" s="12"/>
      <c r="D936" s="86"/>
      <c r="E936" s="86"/>
      <c r="F936" s="11"/>
      <c r="G936" s="83"/>
      <c r="H936" s="94"/>
      <c r="K936" s="221"/>
    </row>
    <row r="937" spans="1:11" s="2" customFormat="1" x14ac:dyDescent="0.2">
      <c r="A937" s="13"/>
      <c r="B937" s="13"/>
      <c r="C937" s="12"/>
      <c r="D937" s="86"/>
      <c r="E937" s="86"/>
      <c r="F937" s="11"/>
      <c r="G937" s="83"/>
      <c r="H937" s="94"/>
      <c r="K937" s="221"/>
    </row>
    <row r="938" spans="1:11" s="2" customFormat="1" x14ac:dyDescent="0.2">
      <c r="A938" s="13"/>
      <c r="B938" s="13"/>
      <c r="C938" s="12"/>
      <c r="D938" s="86"/>
      <c r="E938" s="86"/>
      <c r="F938" s="11"/>
      <c r="G938" s="83"/>
      <c r="H938" s="94"/>
      <c r="K938" s="221"/>
    </row>
    <row r="939" spans="1:11" s="2" customFormat="1" x14ac:dyDescent="0.2">
      <c r="A939" s="13"/>
      <c r="B939" s="13"/>
      <c r="C939" s="12"/>
      <c r="D939" s="86"/>
      <c r="E939" s="86"/>
      <c r="F939" s="11"/>
      <c r="G939" s="83"/>
      <c r="H939" s="94"/>
      <c r="K939" s="221"/>
    </row>
    <row r="940" spans="1:11" s="2" customFormat="1" x14ac:dyDescent="0.2">
      <c r="A940" s="13"/>
      <c r="B940" s="13"/>
      <c r="C940" s="12"/>
      <c r="D940" s="86"/>
      <c r="E940" s="86"/>
      <c r="F940" s="11"/>
      <c r="G940" s="83"/>
      <c r="H940" s="94"/>
      <c r="K940" s="221"/>
    </row>
    <row r="941" spans="1:11" s="2" customFormat="1" x14ac:dyDescent="0.2">
      <c r="A941" s="13"/>
      <c r="B941" s="13"/>
      <c r="C941" s="12"/>
      <c r="D941" s="86"/>
      <c r="E941" s="86"/>
      <c r="F941" s="11"/>
      <c r="G941" s="83"/>
      <c r="H941" s="94"/>
      <c r="K941" s="221"/>
    </row>
    <row r="942" spans="1:11" s="2" customFormat="1" x14ac:dyDescent="0.2">
      <c r="A942" s="13"/>
      <c r="B942" s="13"/>
      <c r="C942" s="12"/>
      <c r="D942" s="86"/>
      <c r="E942" s="86"/>
      <c r="F942" s="11"/>
      <c r="G942" s="83"/>
      <c r="H942" s="94"/>
      <c r="K942" s="221"/>
    </row>
    <row r="943" spans="1:11" s="2" customFormat="1" x14ac:dyDescent="0.2">
      <c r="A943" s="13"/>
      <c r="B943" s="13"/>
      <c r="C943" s="12"/>
      <c r="D943" s="86"/>
      <c r="E943" s="86"/>
      <c r="F943" s="11"/>
      <c r="G943" s="83"/>
      <c r="H943" s="94"/>
      <c r="K943" s="221"/>
    </row>
    <row r="944" spans="1:11" s="2" customFormat="1" x14ac:dyDescent="0.2">
      <c r="A944" s="13"/>
      <c r="B944" s="13"/>
      <c r="C944" s="12"/>
      <c r="D944" s="86"/>
      <c r="E944" s="86"/>
      <c r="F944" s="11"/>
      <c r="G944" s="83"/>
      <c r="H944" s="94"/>
      <c r="K944" s="221"/>
    </row>
    <row r="945" spans="1:11" s="2" customFormat="1" x14ac:dyDescent="0.2">
      <c r="A945" s="13"/>
      <c r="B945" s="13"/>
      <c r="C945" s="12"/>
      <c r="D945" s="86"/>
      <c r="E945" s="86"/>
      <c r="F945" s="11"/>
      <c r="G945" s="83"/>
      <c r="H945" s="94"/>
      <c r="K945" s="221"/>
    </row>
    <row r="946" spans="1:11" s="2" customFormat="1" x14ac:dyDescent="0.2">
      <c r="A946" s="13"/>
      <c r="B946" s="13"/>
      <c r="C946" s="12"/>
      <c r="D946" s="86"/>
      <c r="E946" s="86"/>
      <c r="F946" s="11"/>
      <c r="G946" s="83"/>
      <c r="H946" s="94"/>
      <c r="K946" s="221"/>
    </row>
    <row r="947" spans="1:11" s="2" customFormat="1" x14ac:dyDescent="0.2">
      <c r="A947" s="13"/>
      <c r="B947" s="13"/>
      <c r="C947" s="12"/>
      <c r="D947" s="86"/>
      <c r="E947" s="86"/>
      <c r="F947" s="11"/>
      <c r="G947" s="83"/>
      <c r="H947" s="94"/>
      <c r="K947" s="221"/>
    </row>
    <row r="948" spans="1:11" s="2" customFormat="1" x14ac:dyDescent="0.2">
      <c r="A948" s="13"/>
      <c r="B948" s="13"/>
      <c r="C948" s="12"/>
      <c r="D948" s="86"/>
      <c r="E948" s="86"/>
      <c r="F948" s="11"/>
      <c r="G948" s="83"/>
      <c r="H948" s="94"/>
      <c r="K948" s="221"/>
    </row>
    <row r="949" spans="1:11" s="2" customFormat="1" x14ac:dyDescent="0.2">
      <c r="A949" s="13"/>
      <c r="B949" s="13"/>
      <c r="C949" s="12"/>
      <c r="D949" s="86"/>
      <c r="E949" s="86"/>
      <c r="F949" s="11"/>
      <c r="G949" s="83"/>
      <c r="H949" s="94"/>
      <c r="K949" s="221"/>
    </row>
    <row r="950" spans="1:11" s="2" customFormat="1" x14ac:dyDescent="0.2">
      <c r="A950" s="13"/>
      <c r="B950" s="13"/>
      <c r="C950" s="12"/>
      <c r="D950" s="86"/>
      <c r="E950" s="86"/>
      <c r="F950" s="11"/>
      <c r="G950" s="83"/>
      <c r="H950" s="94"/>
      <c r="K950" s="221"/>
    </row>
  </sheetData>
  <mergeCells count="3">
    <mergeCell ref="A1:H1"/>
    <mergeCell ref="A2:H2"/>
    <mergeCell ref="A3:H3"/>
  </mergeCells>
  <pageMargins left="0.70866141732283472" right="0.70866141732283472" top="0.78740157480314965" bottom="0.78740157480314965" header="0.31496062992125984" footer="0.31496062992125984"/>
  <pageSetup paperSize="9" scale="70" fitToWidth="0" fitToHeight="0" orientation="landscape" r:id="rId1"/>
  <headerFooter>
    <oddFooter>Stránka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Návrh 2025 příjmy </vt:lpstr>
      <vt:lpstr>Návrh 2025 výdaje </vt:lpstr>
      <vt:lpstr>'Návrh 2025 příjmy '!Názvy_tisku</vt:lpstr>
      <vt:lpstr>'Návrh 2025 výdaje '!Názvy_tisku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Voříšková Jitka</dc:creator>
  <cp:lastModifiedBy>Vomáčková Blanka</cp:lastModifiedBy>
  <cp:lastPrinted>2025-02-05T14:53:57Z</cp:lastPrinted>
  <dcterms:created xsi:type="dcterms:W3CDTF">2001-03-03T09:02:45Z</dcterms:created>
  <dcterms:modified xsi:type="dcterms:W3CDTF">2025-03-06T17:23:31Z</dcterms:modified>
</cp:coreProperties>
</file>